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8945" windowHeight="9780" activeTab="0"/>
  </bookViews>
  <sheets>
    <sheet name="Sheet1" sheetId="1" r:id="rId1"/>
    <sheet name="Sheet2" sheetId="2" r:id="rId2"/>
    <sheet name="Sheet3" sheetId="3" r:id="rId3"/>
  </sheets>
  <definedNames>
    <definedName name="_xlnm.Print_Area" localSheetId="0">'Sheet1'!$A$1:$R$612</definedName>
  </definedNames>
  <calcPr fullCalcOnLoad="1"/>
</workbook>
</file>

<file path=xl/sharedStrings.xml><?xml version="1.0" encoding="utf-8"?>
<sst xmlns="http://schemas.openxmlformats.org/spreadsheetml/2006/main" count="1014" uniqueCount="805">
  <si>
    <t>It was late in the winter when the significance of two 30" by 30" holes in the ceiling insulation was realized - this has now been corrected!</t>
  </si>
  <si>
    <t>M Btu @ 72.3% overall site efficiency</t>
  </si>
  <si>
    <t>Gross Source Wood Ht. Burnt: M Btu</t>
  </si>
  <si>
    <t>Tot. Actual Net Heat Purchased:</t>
  </si>
  <si>
    <t xml:space="preserve">  measurement commenced Nov.</t>
  </si>
  <si>
    <r>
      <t xml:space="preserve">Gross Source Electrical Consumption: </t>
    </r>
    <r>
      <rPr>
        <sz val="8"/>
        <rFont val="Arial"/>
        <family val="2"/>
      </rPr>
      <t>kWH</t>
    </r>
    <r>
      <rPr>
        <sz val="10"/>
        <rFont val="Arial"/>
        <family val="0"/>
      </rPr>
      <t xml:space="preserve"> </t>
    </r>
  </si>
  <si>
    <t>source factor</t>
  </si>
  <si>
    <t>Gross Source Est. Kitchen Range LP: kWh</t>
  </si>
  <si>
    <r>
      <t xml:space="preserve">Total Gross Source Energy Consumption:  </t>
    </r>
    <r>
      <rPr>
        <b/>
        <sz val="7"/>
        <rFont val="Arial"/>
        <family val="2"/>
      </rPr>
      <t xml:space="preserve">kWh/m2a </t>
    </r>
  </si>
  <si>
    <t>Gross Source Wood Heat Burnt: M Btu</t>
  </si>
  <si>
    <t>Gross Source Elect.Consumption: M Btu</t>
  </si>
  <si>
    <t>source fctr</t>
  </si>
  <si>
    <t>Tot.Gross Source Heat Purchased: M Btu</t>
  </si>
  <si>
    <t>Tot.Gross Source Heat Purchased: kWh</t>
  </si>
  <si>
    <t>M Btu wood heat</t>
  </si>
  <si>
    <t>efficiency</t>
  </si>
  <si>
    <t>M Btu @ 72%</t>
  </si>
  <si>
    <t>efficiency fctr</t>
  </si>
  <si>
    <t>Site Wood Heat Burnt: M Btu</t>
  </si>
  <si>
    <t>Site LP Heat: M Btu</t>
  </si>
  <si>
    <t>Tot. Site Heat Purchased: M Btu</t>
  </si>
  <si>
    <t>Purchased Fuel to '10 Model Need: %</t>
  </si>
  <si>
    <t>M Btu Site</t>
  </si>
  <si>
    <t>M Btu Source</t>
  </si>
  <si>
    <t>M Btu @ 77%</t>
  </si>
  <si>
    <t>k Btu / Ltr</t>
  </si>
  <si>
    <t>Est. Site Kitchen Range LP: kWh</t>
  </si>
  <si>
    <t>Site Electrical Consumption: kWH</t>
  </si>
  <si>
    <t>Tot.Site Heat Purchased: M Btu</t>
  </si>
  <si>
    <r>
      <t xml:space="preserve">Gross Source Purchased Heating Fuel: M Btu </t>
    </r>
    <r>
      <rPr>
        <sz val="10"/>
        <rFont val="Arial"/>
        <family val="2"/>
      </rPr>
      <t xml:space="preserve">   0</t>
    </r>
  </si>
  <si>
    <t>k Btu/L</t>
  </si>
  <si>
    <t>M Btu / lb</t>
  </si>
  <si>
    <t>W / m2a TFA</t>
  </si>
  <si>
    <t>Equiv.PassvfHaus-TFA: m2a</t>
  </si>
  <si>
    <r>
      <t xml:space="preserve">    Thermal Envelope: Insulation has been upgraded to about R40 on exterior walls, R10 on the floor, and over R50 over the ceiling.  Total Net Area: 2531 sq ft. </t>
    </r>
    <r>
      <rPr>
        <sz val="10"/>
        <rFont val="Arial"/>
        <family val="2"/>
      </rPr>
      <t>(TFA: 226.4 m2a)</t>
    </r>
  </si>
  <si>
    <t xml:space="preserve">                These affect a very large area of steel decking by conduction, and are thus very major thermal hemorages &amp; have now (Fall'09) been corrected!! </t>
  </si>
  <si>
    <t>Avg. South Mudrm SHGC:</t>
  </si>
  <si>
    <t>Mudroom (due south):</t>
  </si>
  <si>
    <t>Main Building (S30E):</t>
  </si>
  <si>
    <t xml:space="preserve">Prime Heat Storage Capacity (Readily Available for Daily Fluctuations) as a Percent of Total Heat Storage Capacity: </t>
  </si>
  <si>
    <t xml:space="preserve">days!  </t>
  </si>
  <si>
    <r>
      <t xml:space="preserve">thus </t>
    </r>
    <r>
      <rPr>
        <b/>
        <sz val="10"/>
        <rFont val="Arial"/>
        <family val="2"/>
      </rPr>
      <t>RC constant</t>
    </r>
    <r>
      <rPr>
        <sz val="10"/>
        <rFont val="Arial"/>
        <family val="0"/>
      </rPr>
      <t xml:space="preserve"> = (heat storage) / (heat load) = </t>
    </r>
  </si>
  <si>
    <r>
      <t xml:space="preserve">thus </t>
    </r>
    <r>
      <rPr>
        <b/>
        <sz val="10"/>
        <rFont val="Arial"/>
        <family val="2"/>
      </rPr>
      <t>RC constant</t>
    </r>
    <r>
      <rPr>
        <sz val="10"/>
        <rFont val="Arial"/>
        <family val="2"/>
      </rPr>
      <t xml:space="preserve"> = (heat storage) / (heat load) = </t>
    </r>
  </si>
  <si>
    <t>% Usable Solar &amp; Recoveries</t>
  </si>
  <si>
    <t xml:space="preserve">(v) identifying the tightest design form for insulation placement (a variation of 'Larsen' truss), and (vi) reducing envelope penetrations to those essential. </t>
  </si>
  <si>
    <t>degree F. temperature swing; cu ft:</t>
  </si>
  <si>
    <t xml:space="preserve">     </t>
  </si>
  <si>
    <t>M.Btu/day</t>
  </si>
  <si>
    <t>deg F</t>
  </si>
  <si>
    <t>% slab loss</t>
  </si>
  <si>
    <t>% above ground loss</t>
  </si>
  <si>
    <t>Max.Purchased Load Mbtu</t>
  </si>
  <si>
    <t>AvgMaxPurch'dLoad Btu/hr</t>
  </si>
  <si>
    <t>Avg Purchased Load (Watts) Napanee</t>
  </si>
  <si>
    <t>Assuming typical solar but no purchased heat input, how many days will it take for temperature to drop to freezing? ie. time t at Temp.=</t>
  </si>
  <si>
    <t>deg F.</t>
  </si>
  <si>
    <t>CentreHall</t>
  </si>
  <si>
    <t>Volume cu ft</t>
  </si>
  <si>
    <t>(typically excludes Mudroom)</t>
  </si>
  <si>
    <t>All windows in main dwelling: 322 LOF clr4, EA2 #3# 5</t>
  </si>
  <si>
    <t>Basic 'Design Day' Heat Load Calculation</t>
  </si>
  <si>
    <t>THERMAL GAINS:  Solar Gains, Internally Generated Gains, Net Thermal Mass Gains and Heat Recovery Ventilation Gains</t>
  </si>
  <si>
    <t>Main Bldg. Plus Mudroom Contribution:</t>
  </si>
  <si>
    <t>litre/day LP</t>
  </si>
  <si>
    <t>Int'l Gener'd Gains M Btu/mon</t>
  </si>
  <si>
    <t>Heat Recovery Vent'n Gain: M Btu</t>
  </si>
  <si>
    <t>% HRV Gain</t>
  </si>
  <si>
    <t>% Solar Gain</t>
  </si>
  <si>
    <t>% Internal Gain</t>
  </si>
  <si>
    <t>% Mass Gain</t>
  </si>
  <si>
    <t>% Mass Loss</t>
  </si>
  <si>
    <t xml:space="preserve">drop below 50 degrees F!  This situation would only occur if there was no hydro and no propane, and no-one to stoke the masonry heater - a fairly unlikely situation. </t>
  </si>
  <si>
    <r>
      <t xml:space="preserve">of bitterly cold 'Design Day' weather </t>
    </r>
    <r>
      <rPr>
        <b/>
        <u val="single"/>
        <sz val="10"/>
        <rFont val="Arial"/>
        <family val="2"/>
      </rPr>
      <t>with neither purchased fuel nor typical solar insolation</t>
    </r>
    <r>
      <rPr>
        <b/>
        <sz val="10"/>
        <rFont val="Arial"/>
        <family val="2"/>
      </rPr>
      <t xml:space="preserve"> are required before </t>
    </r>
    <r>
      <rPr>
        <b/>
        <u val="single"/>
        <sz val="10"/>
        <rFont val="Arial"/>
        <family val="2"/>
      </rPr>
      <t>freeze-up and/or thaw damage might occur!</t>
    </r>
  </si>
  <si>
    <t xml:space="preserve">   Living</t>
  </si>
  <si>
    <t>Case 1: Normal Ocupancy</t>
  </si>
  <si>
    <t xml:space="preserve">    four patio doors, &amp; insulated concrete pavers):</t>
  </si>
  <si>
    <t xml:space="preserve"> four patio doors, &amp; insulated concrete pavers:</t>
  </si>
  <si>
    <t xml:space="preserve">Infiltration severely degrades thermal performance.  It degrades the controlling of ventilation and humidity, and often leads to moisture, mold and mildew problems. </t>
  </si>
  <si>
    <t xml:space="preserve">This renovation was undertaken in a manner thought to best control infiltration.  This involved (i) selecting very high quality windows and doors, (ii) reducing the number and size of </t>
  </si>
  <si>
    <t xml:space="preserve">A lot of effort was put into ensuring a tight building - but did we succeed?   There were still major penitrations of the envelope ( LP fireplace co-axial vent, plumbing stack vent, HRV </t>
  </si>
  <si>
    <t xml:space="preserve">The usual infiltration test is the 'blower door' test were the building is depressurized and air change per hour is determined.  To account for the depressurization, technicians </t>
  </si>
  <si>
    <t>Site Electrical Consumption: M Btu</t>
  </si>
  <si>
    <t>Net Elect. Consumption @ 99%: M Btu</t>
  </si>
  <si>
    <r>
      <t xml:space="preserve">Electrical Consumption </t>
    </r>
    <r>
      <rPr>
        <b/>
        <sz val="10"/>
        <rFont val="Arial"/>
        <family val="2"/>
      </rPr>
      <t>(incl. DHWH):</t>
    </r>
  </si>
  <si>
    <t>Metered Electrical Consumption: kWHr</t>
  </si>
  <si>
    <t>Total Gross Source Energy Used: kWhr</t>
  </si>
  <si>
    <t xml:space="preserve">Total Gross Source Energy Used per </t>
  </si>
  <si>
    <t xml:space="preserve">Total Site Energy Used: kWhr: </t>
  </si>
  <si>
    <t>Tot. Site Heat Purchased: kWhr</t>
  </si>
  <si>
    <t>M Btu purchased site space heating fuel</t>
  </si>
  <si>
    <t>kWhr purchased site space heating fuel</t>
  </si>
  <si>
    <t>M Btu source purchased space heating fuel</t>
  </si>
  <si>
    <t>kWhr Source</t>
  </si>
  <si>
    <t>1. Actual Wood Burnt: lbs.</t>
  </si>
  <si>
    <t>3. Electrical Consumption: kWH</t>
  </si>
  <si>
    <t>2. L. Propane burnt: litres</t>
  </si>
  <si>
    <t>same</t>
  </si>
  <si>
    <t>over 0.8M Btu</t>
  </si>
  <si>
    <t>kWhr Plug &amp; DHWH Electr.</t>
  </si>
  <si>
    <t>Kwhr/day Tot. Electr.</t>
  </si>
  <si>
    <r>
      <t xml:space="preserve">Electrical Consumption per day: </t>
    </r>
    <r>
      <rPr>
        <sz val="8"/>
        <rFont val="Arial"/>
        <family val="2"/>
      </rPr>
      <t>kWHrs/day</t>
    </r>
  </si>
  <si>
    <t xml:space="preserve">   TFA Square Metre Area: kWhr/m2a</t>
  </si>
  <si>
    <t>Source Plug &amp; DHWH Elect.Use kWhr</t>
  </si>
  <si>
    <t>kWhr Source Plug &amp; DHWH Electr.</t>
  </si>
  <si>
    <t>typically divide the test result by an arbitrary 10 or 20.  This in it-self is a possible error of 100%, and is hardly reassuring, especially since tests typically cost $ 500 to $ 1000 !</t>
  </si>
  <si>
    <t xml:space="preserve">With some effort and care, by using a carbon monoxide as a tracer gas, and a carbon monoxide sensor with digital readout, one can quite easily measure infiltration directly.  </t>
  </si>
  <si>
    <t xml:space="preserve">Consider: </t>
  </si>
  <si>
    <t xml:space="preserve">If V = house air volume in cu ft, </t>
  </si>
  <si>
    <t>If Ic = initial concentration in ppm, Fc = final concentration in ppm, and t = time in hours, then:</t>
  </si>
  <si>
    <t>&lt;&lt;</t>
  </si>
  <si>
    <t>inputting Fc from actual test (in ppm) &gt;&gt;</t>
  </si>
  <si>
    <t>then ln(Fc/100)</t>
  </si>
  <si>
    <r>
      <t>911</t>
    </r>
    <r>
      <rPr>
        <sz val="6"/>
        <rFont val="Arial"/>
        <family val="2"/>
      </rPr>
      <t>/ 3 const.trlrs</t>
    </r>
  </si>
  <si>
    <r>
      <t>919</t>
    </r>
    <r>
      <rPr>
        <sz val="6"/>
        <rFont val="Arial"/>
        <family val="2"/>
      </rPr>
      <t>/ 3 const.trlrs</t>
    </r>
  </si>
  <si>
    <r>
      <t>675</t>
    </r>
    <r>
      <rPr>
        <sz val="6"/>
        <rFont val="Arial"/>
        <family val="2"/>
      </rPr>
      <t>/ 2 const.trlrs</t>
    </r>
  </si>
  <si>
    <r>
      <t>466</t>
    </r>
    <r>
      <rPr>
        <sz val="6"/>
        <rFont val="Arial"/>
        <family val="2"/>
      </rPr>
      <t>/ 1const.trlr</t>
    </r>
  </si>
  <si>
    <t>inputting Ic from actual test (in ppm)  &gt;&gt;</t>
  </si>
  <si>
    <t xml:space="preserve">then (Fc/Ic) = </t>
  </si>
  <si>
    <t xml:space="preserve"> - t/ln(Fc/Ic)</t>
  </si>
  <si>
    <t>est.1.03</t>
  </si>
  <si>
    <t>est.2.77</t>
  </si>
  <si>
    <t xml:space="preserve"> hours</t>
  </si>
  <si>
    <t>Let L = Desired Air Leakage in cfm;</t>
  </si>
  <si>
    <t>thus from L = V/60 Tc</t>
  </si>
  <si>
    <t xml:space="preserve">then time constant Tc = </t>
  </si>
  <si>
    <t>then time constant Tc = V / 60 L in hours, or restated, L = V / (60 Tc)</t>
  </si>
  <si>
    <t>Fc = Ic e^(-t/Tc)</t>
  </si>
  <si>
    <t xml:space="preserve">thus time constant Tc = </t>
  </si>
  <si>
    <t xml:space="preserve">Leakage L = </t>
  </si>
  <si>
    <t xml:space="preserve">cfm or </t>
  </si>
  <si>
    <t>inputting house volume V in cu ft      &gt;&gt;</t>
  </si>
  <si>
    <r>
      <t xml:space="preserve">Passive Solar Windows </t>
    </r>
    <r>
      <rPr>
        <sz val="8"/>
        <rFont val="Arial"/>
        <family val="2"/>
      </rPr>
      <t>(322 LOF EA2#3#5)</t>
    </r>
    <r>
      <rPr>
        <b/>
        <sz val="10"/>
        <rFont val="Arial"/>
        <family val="2"/>
      </rPr>
      <t xml:space="preserve"> and Doors:</t>
    </r>
  </si>
  <si>
    <t>lb / year  or</t>
  </si>
  <si>
    <r>
      <t>For Average January Situations</t>
    </r>
    <r>
      <rPr>
        <sz val="10"/>
        <rFont val="Arial"/>
        <family val="0"/>
      </rPr>
      <t>, net heat load is:</t>
    </r>
  </si>
  <si>
    <t>Assuming no significant solar or other heat input, how many days will it take for temperature to drop to freezing? ie: time t at Temp.=</t>
  </si>
  <si>
    <t>per average winter season</t>
  </si>
  <si>
    <t>Design Day Thermal Loss/net floor area:</t>
  </si>
  <si>
    <t>Design Day Thermal Loss/Delta T per net floor area:</t>
  </si>
  <si>
    <t>Gross Site Wood Heat Burnt:M Btu</t>
  </si>
  <si>
    <t>Gross Source LP Heat: M Btu</t>
  </si>
  <si>
    <t>Gross Site LP Heat: M Btu</t>
  </si>
  <si>
    <t>M Btu Source LP</t>
  </si>
  <si>
    <t>M Btu Site LP</t>
  </si>
  <si>
    <t>M Btu Source Heat Energy</t>
  </si>
  <si>
    <t>Electrical Consumption per day: kWH</t>
  </si>
  <si>
    <t>kWH Source Elect.</t>
  </si>
  <si>
    <t>kWH Site Elect.</t>
  </si>
  <si>
    <t>heating days typical per winter</t>
  </si>
  <si>
    <t>note 1: windows open for all of Sep &amp; Oct for ventilation (construction off-gassing), HRV not operational until 1 Nov'08.</t>
  </si>
  <si>
    <t xml:space="preserve">   Revised: 1 Dec 2009</t>
  </si>
  <si>
    <t xml:space="preserve">              and permits, but is physically close to Picton, which has a slightly milder winter.  Early iterations focussed on Napanee (for </t>
  </si>
  <si>
    <t>seemed to be</t>
  </si>
  <si>
    <t>much cooler</t>
  </si>
  <si>
    <t>than typical</t>
  </si>
  <si>
    <t>Required Slab Thickness for Den, Studio, SE Bdrm, (1242 sq ft), inches:</t>
  </si>
  <si>
    <t xml:space="preserve">to an uncomfortable 50 degrees F.  </t>
  </si>
  <si>
    <t xml:space="preserve">As a matter of comparison, our previous dwelling in Carleton Place would experience freeze-up in 10 hours under similar weather conditions!  </t>
  </si>
  <si>
    <t>(average expected cost)</t>
  </si>
  <si>
    <r>
      <t>Worst case (Consecutive Design Day) Situation</t>
    </r>
    <r>
      <rPr>
        <b/>
        <sz val="10"/>
        <rFont val="Arial"/>
        <family val="2"/>
      </rPr>
      <t xml:space="preserve">,  </t>
    </r>
    <r>
      <rPr>
        <sz val="10"/>
        <rFont val="Arial"/>
        <family val="2"/>
      </rPr>
      <t>heat load =</t>
    </r>
  </si>
  <si>
    <t>(assuming minimal back-up power)</t>
  </si>
  <si>
    <t xml:space="preserve">2.  LP gas fired fireplace unit located in the Living Room (max: 33.1 k Btu/hr net), </t>
  </si>
  <si>
    <t>The installed heating provisions are not only fully adequate for typical year to year climate and weather variations, but are expected to handle the heating needs of the</t>
  </si>
  <si>
    <t>kWh net</t>
  </si>
  <si>
    <t xml:space="preserve">(ii) a much higher than normal level of fire and personal safety, (iii) considerably lower than usual maintenance, plus (iv) attractive cooking and baking opportunities! </t>
  </si>
  <si>
    <t>Ideal Insolation due south:</t>
  </si>
  <si>
    <t>Ideal Insol'n (30 deg E of S)</t>
  </si>
  <si>
    <t>k Btu*DD</t>
  </si>
  <si>
    <t>Sunlit Glass 30 E of S:</t>
  </si>
  <si>
    <t xml:space="preserve">   Incident South Btu/day</t>
  </si>
  <si>
    <t xml:space="preserve">   Incident West  Btu/day</t>
  </si>
  <si>
    <t>NRC Daily Insol'n (south): Btu/sqft day</t>
  </si>
  <si>
    <t>Est. NRC Daily Ins (west):Btu/sqftday</t>
  </si>
  <si>
    <t>Snow Fctr NRC In (south): Btu/sqft day:</t>
  </si>
  <si>
    <t>Snow Fctr NRC In (west): Btu/sqft day:</t>
  </si>
  <si>
    <t>Est.Sno NRC Insol'n(30 E of S-south):</t>
  </si>
  <si>
    <t>Est.Sno NRC Insol'n (30 E of S-west):</t>
  </si>
  <si>
    <t>Btu/sqft day</t>
  </si>
  <si>
    <t>thus recovery constrained to south wall loss during daytime!</t>
  </si>
  <si>
    <t>+-5lbs or :</t>
  </si>
  <si>
    <t>bush cord!</t>
  </si>
  <si>
    <t xml:space="preserve">The mudroom-solarium was at no time 'heated'.  Surprisingly, the temperature in the mudroom was very seldom uncomfortable for working and never dropped below 45F at night. </t>
  </si>
  <si>
    <t>Clearness Fctr:</t>
  </si>
  <si>
    <t>M Btu / yr</t>
  </si>
  <si>
    <t>Dispersed &amp; Snow Factor:</t>
  </si>
  <si>
    <t>very cloudy!</t>
  </si>
  <si>
    <t>cords</t>
  </si>
  <si>
    <r>
      <t>lb/yr</t>
    </r>
    <r>
      <rPr>
        <sz val="10"/>
        <rFont val="Arial"/>
        <family val="0"/>
      </rPr>
      <t xml:space="preserve">    or</t>
    </r>
  </si>
  <si>
    <t>(local firewood is typically ~ 6300 Btu/lb)</t>
  </si>
  <si>
    <t>Equiv. Sun Hours/mon</t>
  </si>
  <si>
    <t>Solar gain per sun hour k Btu/hr</t>
  </si>
  <si>
    <t>Expected Solar Gain: M Btu</t>
  </si>
  <si>
    <t>Jan</t>
  </si>
  <si>
    <t>Feb</t>
  </si>
  <si>
    <t>Mar</t>
  </si>
  <si>
    <t>Apr</t>
  </si>
  <si>
    <t>Dec</t>
  </si>
  <si>
    <t>Nov</t>
  </si>
  <si>
    <t>Oct</t>
  </si>
  <si>
    <t>Winter Total</t>
  </si>
  <si>
    <t>Jun-Aug</t>
  </si>
  <si>
    <t>kWh</t>
  </si>
  <si>
    <t>Tot. Net Purchased Fuel: M Btu</t>
  </si>
  <si>
    <t>Expected Net Purchased Fuel: M Btu</t>
  </si>
  <si>
    <t>Winter'10 Exp'd Purchased Fuel:M Btu</t>
  </si>
  <si>
    <t>Est. Kitchen Range LP: litres</t>
  </si>
  <si>
    <t>M Btu actual net purchased fuel</t>
  </si>
  <si>
    <t>Expected Sun Hours per mon:</t>
  </si>
  <si>
    <t>Approx. Actual Solar Gain: M Btu</t>
  </si>
  <si>
    <t>Measured Sun Hours per mon:</t>
  </si>
  <si>
    <t>k Btu/yr/net sqft purchased net heat</t>
  </si>
  <si>
    <t>Max. Avg. Net Purchased Load kW</t>
  </si>
  <si>
    <t>Avg. Net Purchased Fuel: Btu/hr</t>
  </si>
  <si>
    <t xml:space="preserve"> @ 77% &amp; $0.65/litre (2008)</t>
  </si>
  <si>
    <t xml:space="preserve">                   ie. a night set back from 70 to</t>
  </si>
  <si>
    <t>Total Net Solar Gain: M Btu</t>
  </si>
  <si>
    <t>Heat Loss While Collecting Solar Gain (8:00am to 4:00pm):</t>
  </si>
  <si>
    <t>Heat Loss for 8Hr:</t>
  </si>
  <si>
    <t>cloudy</t>
  </si>
  <si>
    <t>Net Wood Heat: M Btu</t>
  </si>
  <si>
    <t>Net LP Heat: M Btu</t>
  </si>
  <si>
    <t>Sep</t>
  </si>
  <si>
    <t>NRC Canmet 2007</t>
  </si>
  <si>
    <t>NRC Canmet 2008</t>
  </si>
  <si>
    <t>MudRm Tot'l Solar Gain M Btu/mon</t>
  </si>
  <si>
    <t>MudRm tree-less Gain M Btu/mon</t>
  </si>
  <si>
    <t>Base MudRm Loss M Btu/mon</t>
  </si>
  <si>
    <t>MudRm Gain conveyed to Main M Btu/mon</t>
  </si>
  <si>
    <t xml:space="preserve">  south wall loss M Btu/mon:</t>
  </si>
  <si>
    <t xml:space="preserve">locate the CO sensor central to the dwelling and so oriented to be monitored through a window from outside (binoculars?).  Then bring a potfull of glowing charcoal embers into the house. </t>
  </si>
  <si>
    <t xml:space="preserve">Stay outdoors during CO build period, during test time, and ventilate until building is well below 50 ppm. </t>
  </si>
  <si>
    <t xml:space="preserve">          Test Data: 27 Apr'09</t>
  </si>
  <si>
    <t xml:space="preserve">     (excludes HRV &amp; Int. </t>
  </si>
  <si>
    <t xml:space="preserve">     Gains &amp; Mudroom)</t>
  </si>
  <si>
    <r>
      <t xml:space="preserve">Maximum System Heating Load </t>
    </r>
    <r>
      <rPr>
        <u val="single"/>
        <sz val="10"/>
        <rFont val="Arial"/>
        <family val="2"/>
      </rPr>
      <t>(excluding all gain sources)</t>
    </r>
  </si>
  <si>
    <t>(less than a typical portable electric heater)</t>
  </si>
  <si>
    <t>spreadsheed ref. O96-N96</t>
  </si>
  <si>
    <t>thus actual test time (in hours) &gt;&gt;</t>
  </si>
  <si>
    <t>Input start t:</t>
  </si>
  <si>
    <t>Input end t:</t>
  </si>
  <si>
    <t>initial concentration is estimated from averaging the first two data points.</t>
  </si>
  <si>
    <t xml:space="preserve">Simply close the windows and doors, deactivate the HRV, seal exhaust fans, dryer, and masonry heater, then rig several fans in the dwelling to stir up the air.  If at all possible, </t>
  </si>
  <si>
    <t xml:space="preserve">The stability of the test data clearly </t>
  </si>
  <si>
    <t xml:space="preserve">confirms that very tight construction </t>
  </si>
  <si>
    <t>was indeed achieved!</t>
  </si>
  <si>
    <t>Leakage tests (with sealed vent penetrations) are expected to average over the winter to be about 0.014 ACH.</t>
  </si>
  <si>
    <t>ACH air changes per hour @ 40 deg F.</t>
  </si>
  <si>
    <t>ACH air changes per hour @ -6 deg F.</t>
  </si>
  <si>
    <t xml:space="preserve">For infiltration J69 - page 2 analysis (ie: vents unsealed) lets double this and round to 0.03 ACH.  </t>
  </si>
  <si>
    <t xml:space="preserve">The thermal performance of the dwelling's first winter was quite close to the expected space heating need as predicted by this spreadsheet simulation model.  </t>
  </si>
  <si>
    <t>less defect: ceiling insulation 'holes': M Btu</t>
  </si>
  <si>
    <t xml:space="preserve">    Average daily delta T:</t>
  </si>
  <si>
    <r>
      <t xml:space="preserve">Heat Gain from </t>
    </r>
    <r>
      <rPr>
        <i/>
        <sz val="10"/>
        <rFont val="Arial"/>
        <family val="2"/>
      </rPr>
      <t>one</t>
    </r>
    <r>
      <rPr>
        <sz val="10"/>
        <rFont val="Arial"/>
        <family val="0"/>
      </rPr>
      <t xml:space="preserve"> sunny day: M Btu</t>
    </r>
  </si>
  <si>
    <t>TOTAL HEAT LOAD M Btu</t>
  </si>
  <si>
    <t>USABLE INT'L/SOLAR M Btu</t>
  </si>
  <si>
    <t>Main Insolation M Btu/mon</t>
  </si>
  <si>
    <t>conservative assumption!</t>
  </si>
  <si>
    <t xml:space="preserve"> M Btu per Year</t>
  </si>
  <si>
    <t>"@ 72% &amp; $280/22MBtu cord</t>
  </si>
  <si>
    <t>OCCUPIED @ Mid-day 70 deg F</t>
  </si>
  <si>
    <t>n/a</t>
  </si>
  <si>
    <t xml:space="preserve">Even for relatively small quantities of air leakage, inbound infiltrating air needs to be heated in winter - but much worse, due to temperature and dew point differences, the outbound </t>
  </si>
  <si>
    <t xml:space="preserve">air tends to condense within the wall/ceiling cavities.    </t>
  </si>
  <si>
    <t xml:space="preserve">operating windows, (iii) attempting to ensure quality window and door instalation and sealing procedures were used, (iv) selecting the tightest form of insulation (spray-in-place urethane), </t>
  </si>
  <si>
    <t>~HDD C</t>
  </si>
  <si>
    <t>While flawed by construction completion difficulties, the first winter's total purchased space heating fuel cost was $ 275 for 14.4 M net Btu.  However, after adjusting for</t>
  </si>
  <si>
    <t xml:space="preserve">Construction completed, in future years, the total cost of purchased heating is expected to range between $200 and $250 (@ 2009 fuel costs) depending upon weather conditions. </t>
  </si>
  <si>
    <t xml:space="preserve">(ie: Heat for first five days is provided solely by interior mass, assumes no solar !) </t>
  </si>
  <si>
    <t xml:space="preserve">NRCan. data indicates Sep. to Nov.'09 was typical, but Dec. to Feb. averaged 0.7C below normal, with Mar. to May supposedly about 0.7C warmer than average (felt colder here).  </t>
  </si>
  <si>
    <t xml:space="preserve">note 3: NRCan indicates that Dec'08, Jan &amp; Feb'09 averaged 0.7C colder than average (tabulated for Gr.Lakes/St.Lawrence). </t>
  </si>
  <si>
    <t>note 4: NRCan reported Mar. Apr &amp; May'09 was 0.7C warmer than average -( but I doubt it).</t>
  </si>
  <si>
    <t>inlets and outlets, the kitchen range vent, the dryer vent, the masonry heater's flue) - none that could be eliminated without serious implications.  What was their combined implication?</t>
  </si>
  <si>
    <t xml:space="preserve">Allow the CO concentration to rise to about 150 ppm (a not too hazardous level), then remove the embers from the house, and note the CO concentration exactly one and two hours later.  </t>
  </si>
  <si>
    <t xml:space="preserve">Note: Restrict Ic to 150 ppm.  CO is both toxic and dangerous.  </t>
  </si>
  <si>
    <t>cu.ft</t>
  </si>
  <si>
    <t xml:space="preserve"> @ 99% &amp; $0.199/kWh (2008)</t>
  </si>
  <si>
    <t>Avg. NREL Radiation * 317</t>
  </si>
  <si>
    <t xml:space="preserve">located to be readily loaded on a daily basis with wintertime solar heat energy.  A full day of solar heating may be not much greater than five hours.  </t>
  </si>
  <si>
    <t>very snowy,</t>
  </si>
  <si>
    <t xml:space="preserve">   Iteration 408</t>
  </si>
  <si>
    <t>Tot.Actual Net Heat Purchased: M Btu</t>
  </si>
  <si>
    <t xml:space="preserve">Net Ext Gnd Belt Area </t>
  </si>
  <si>
    <t>colder than typ.</t>
  </si>
  <si>
    <t>Insolation Summary:</t>
  </si>
  <si>
    <t>Temperature Summary:</t>
  </si>
  <si>
    <t>Cummulative Firewood Consumption:</t>
  </si>
  <si>
    <t>via HRV</t>
  </si>
  <si>
    <t>Approx.Napanee DD 64.4F:</t>
  </si>
  <si>
    <t>Approx.Picton DD 64.4F:</t>
  </si>
  <si>
    <t xml:space="preserve">    Min.midwinter soil temp 5' under slab, deg F:</t>
  </si>
  <si>
    <t>Workshop &amp; utility room are unfinished/unconditioned space.</t>
  </si>
  <si>
    <t>Ceiling R max:</t>
  </si>
  <si>
    <t>min.</t>
  </si>
  <si>
    <t>Testing and Analysis to Determine the Typical Rate of Infiltration of the Renovated Dwelling - 27 Apr'09</t>
  </si>
  <si>
    <t>P.M.</t>
  </si>
  <si>
    <t>CO ppm</t>
  </si>
  <si>
    <t>TOTAL HEAT GAIN, M Btu:</t>
  </si>
  <si>
    <t>Net Purchased Load, M Btu: (Picton)</t>
  </si>
  <si>
    <t>Building Description:</t>
  </si>
  <si>
    <t>Expected Solar Gain/SunHr: M Btu/hr</t>
  </si>
  <si>
    <t>per Net k Btu</t>
  </si>
  <si>
    <t>2008/2009 Propane Rate: $ 0.65/l</t>
  </si>
  <si>
    <t>2008/2009 Firewood Rate: $ 280.00 / 22 M Btu Cord</t>
  </si>
  <si>
    <t>0.54cord burnt</t>
  </si>
  <si>
    <t xml:space="preserve">5 to 6 k Btu/hr mid-winter avg. </t>
  </si>
  <si>
    <t xml:space="preserve">    5 to 6 k Btu/hr mid-winter avg. </t>
  </si>
  <si>
    <t>k Btu/hr(Feb)</t>
  </si>
  <si>
    <t>sq ft</t>
  </si>
  <si>
    <t xml:space="preserve">requirements.  The premium quality heating, insulation and window treatment has cost about an additional $75,000.00, but saves nearly $ 3,800 per year (2008-9 dollars). </t>
  </si>
  <si>
    <t xml:space="preserve">Fluctuating energy costs may well reduce the nominal 20 year 'payback' period considerably - yet the facilities provide (i) worry free heating with emergency fuel redundancy, </t>
  </si>
  <si>
    <t xml:space="preserve">         Assuming purchased fuel is 94% wood, 6% propane &amp; 0% elect.:</t>
  </si>
  <si>
    <t>Total Estimated Space Heating Cost:</t>
  </si>
  <si>
    <t xml:space="preserve">need and supply depend upon variable weather/solar recoveries. </t>
  </si>
  <si>
    <t xml:space="preserve">Actual heating cost is likely to be quite variable from year to year as both heating </t>
  </si>
  <si>
    <t xml:space="preserve">Test data for 27 Apr'09 reflect the reality that if CO concentration has been </t>
  </si>
  <si>
    <t xml:space="preserve">increasing rapidly, and the source is withdrawn, a rapid drop in CO will be </t>
  </si>
  <si>
    <t>measured due to the time lag for uniform mixing throughout the house.  (ie: not</t>
  </si>
  <si>
    <t xml:space="preserve">unlike the dynamic response of an underdamped step function).  Thus the </t>
  </si>
  <si>
    <t>The ambience and comfort of the sun exposed rooms was highly attractive, resulting in less use of the north wing, and thus less propane being used than originally anticipated.</t>
  </si>
  <si>
    <t>approx.HDD based om monthly avg. temp.</t>
  </si>
  <si>
    <t>Picton, ON: HDD 21.11C</t>
  </si>
  <si>
    <r>
      <t>Hanover, DE: HDD21C</t>
    </r>
    <r>
      <rPr>
        <sz val="6"/>
        <rFont val="Arial"/>
        <family val="2"/>
      </rPr>
      <t>-last3yr</t>
    </r>
  </si>
  <si>
    <r>
      <t>Trenton, ON:  HDD21C</t>
    </r>
    <r>
      <rPr>
        <sz val="6"/>
        <rFont val="Arial"/>
        <family val="2"/>
      </rPr>
      <t>-last 3yr</t>
    </r>
  </si>
  <si>
    <t>approx.HDD based on last 3yr airport data</t>
  </si>
  <si>
    <t>SCHOOLHOUSE DEEP ENERGY RETROFIT - ANNUAL HEAT LOAD CALCULATION, SOLAR DESIGN AND ACTUAL THERMAL PERFORMANCE</t>
  </si>
  <si>
    <t xml:space="preserve">The net effect in the future will be a slight increase in propane usage for the kitchen range and electrical consumption, but little change in requirements for space heating energy. </t>
  </si>
  <si>
    <t xml:space="preserve">Note that occupancy this first winter averaged only slightly over one person, and that in the future, occupancy will average slightly above two persons.    </t>
  </si>
  <si>
    <t xml:space="preserve">When these in-efficiencies and actual weather are accounted for, the computed actual performance was marginally better than the model prediction. </t>
  </si>
  <si>
    <t xml:space="preserve">However, this is a renovation of a 46 year old building, whose structure and solar orientation are far from ideal - and yet it saves over 97% of it's original space heating need! </t>
  </si>
  <si>
    <t>Comparison of Picton Climate with that of Hanover PassHaus Experience:</t>
  </si>
  <si>
    <t>Gordon Scale, P.Eng. (retired); co-owner and primary designer</t>
  </si>
  <si>
    <t xml:space="preserve">Executive Summary - A 'deep energy retrofit' has been undertaken to a forty-six year-old dwelling (a converted two classroom school) bringing very serious thermal deficiencies to superior quality standards: </t>
  </si>
  <si>
    <t>At 94% Firewood, net lbs/week:</t>
  </si>
  <si>
    <t>At 94% Firewood, gross lbs/week:</t>
  </si>
  <si>
    <t>Tot'l Expected Gross Firewood @ 94% of purchased heat:</t>
  </si>
  <si>
    <t xml:space="preserve">Thermal performance is impressive!  A quality level of exterior insulation, in conjunction with triple pane passive solar, supplemented by a double pane solar heater - </t>
  </si>
  <si>
    <t>Net Heat Gain by 5:00pm that must be stored in the dwelling to prevent overheating, M Btu:</t>
  </si>
  <si>
    <t>Thickness of 20" by 20" x 1 1/2" patterned concrete paver slabs required: inches</t>
  </si>
  <si>
    <t>in the ceiling, and about 287 k lbs masonry walls, and 29 k lbs of conc. flooring!  The thermal storage of steel is 0.12 Btu/lb per degree F.  The storage of concrete averages</t>
  </si>
  <si>
    <t xml:space="preserve">storage capability is about : </t>
  </si>
  <si>
    <t>January is the worst month, after that weather improves, so in reality, with typical weather and insolation but no purchased fuel, the dwelling temperature is unlikely to fall below 41 F.!</t>
  </si>
  <si>
    <t>0.68cord burnt</t>
  </si>
  <si>
    <t>typical?</t>
  </si>
  <si>
    <t xml:space="preserve">This renovation provides: </t>
  </si>
  <si>
    <r>
      <t xml:space="preserve">k Btu/deg.F !  </t>
    </r>
    <r>
      <rPr>
        <sz val="10"/>
        <rFont val="Arial"/>
        <family val="2"/>
      </rPr>
      <t xml:space="preserve">The total thermal storage capability of the typical North American home is reportedly 7k Btu/deg.F. </t>
    </r>
  </si>
  <si>
    <t>(equiv. 0.3ACH for 2.5m ceilings)</t>
  </si>
  <si>
    <t xml:space="preserve">75 year extreme recorded weather occurrence (ie: 65% additional heat load) - even without electricity!  </t>
  </si>
  <si>
    <t>2008/2009 Elect. Rate: $ 0.056 /kWh grossed up to $ 0.199 /kWhr :</t>
  </si>
  <si>
    <t>4.1kW Electric Baseboards or 14k Btu/hr</t>
  </si>
  <si>
    <t xml:space="preserve">    4.1kW Electric Baseboards or 14k Btu/hr</t>
  </si>
  <si>
    <t>Proposed 2010 El.Rates: $0.088, 7-11&amp; 5-8 winter,11-5 summer; $0.072, 11-5 &amp; 8-10 winter,7-11 &amp; 5-10 summer, else $0.04</t>
  </si>
  <si>
    <t xml:space="preserve">of one bush cord - sustainably harvested from the owner's small woodlot. </t>
  </si>
  <si>
    <t xml:space="preserve">From an insurance perspective, the risk of this dwelling suffering damage arising from wintertime heating system failure is extremely low!  </t>
  </si>
  <si>
    <r>
      <t xml:space="preserve">times the thermal storage of a typical dwelling </t>
    </r>
    <r>
      <rPr>
        <sz val="10"/>
        <rFont val="Arial"/>
        <family val="2"/>
      </rPr>
      <t>- and over 85% of this mass is reclaimed or recycled material</t>
    </r>
    <r>
      <rPr>
        <b/>
        <sz val="10"/>
        <rFont val="Arial"/>
        <family val="2"/>
      </rPr>
      <t xml:space="preserve">! </t>
    </r>
  </si>
  <si>
    <t xml:space="preserve">The solar storage sizing calculation of page 4 uses a conservative estimate of the mass of concrete and steel because that mass must be </t>
  </si>
  <si>
    <t>However, the original steel ceiling and all the masonry walls are now within the insulated thermal envelope.  This is a very significant mass!  There are about 13k lbs of steel</t>
  </si>
  <si>
    <r>
      <t xml:space="preserve">about 19 k lbs and store about 3.8 k Btu/ deg F.  Including an additional 1.7 k Btu/ F for 9.5 k lbs of studs and drywall, and furnishing (~6.7k Btu/deg F),  </t>
    </r>
    <r>
      <rPr>
        <b/>
        <sz val="10"/>
        <rFont val="Arial"/>
        <family val="2"/>
      </rPr>
      <t xml:space="preserve">thus the total thermal </t>
    </r>
  </si>
  <si>
    <t xml:space="preserve">Normal household routines (ie: occupancy and the cooking of some meals in the bake oven of the masonry heater) can easily satisfy wintertime heating needs! </t>
  </si>
  <si>
    <t>Indoor Temperature @4pm F</t>
  </si>
  <si>
    <t>Mudroom operated as solar heater (unconditioned space).</t>
  </si>
  <si>
    <t>see note 3</t>
  </si>
  <si>
    <t>Other Energy Consumption:</t>
  </si>
  <si>
    <t>Avg. Int'l&amp;Solar Gain, Btu.hr:</t>
  </si>
  <si>
    <t xml:space="preserve">This is worthy of serious consideration - as throughout Canada, essentially all existing housing is overly dependent upon fossil fuels and very seriously thermally deficient!  </t>
  </si>
  <si>
    <t>Volume of Useful Existing Exposed Concrete Walls 533cu ft (@ 80% efficiency), cu ft:</t>
  </si>
  <si>
    <t>Volume of Masonry Heater and topping slab 17,200 lb/140 lb/cuft (@ 50% efficiency),  cuft:</t>
  </si>
  <si>
    <t>Heat Gain to be stored in steel ceiling 26.44 cuft @ 59.76  58.7 Btu/cuft (@ 75% efficiency): M Btu</t>
  </si>
  <si>
    <t>Required Volume of Concrete Slab (@ 70% efficiency), cu ft:</t>
  </si>
  <si>
    <t xml:space="preserve">note 7: owner was aware that a 30" x 30" hole existed in the insulation around masonry heater's chimney, </t>
  </si>
  <si>
    <t xml:space="preserve">note 8: Page 4 references both Napanee and Picton.  Building is in municipality of Greater Napanee for purposes of building code </t>
  </si>
  <si>
    <t xml:space="preserve">             legal approvals), later iterations (model refinements) were more tailored to the Picton climate (more realistic). </t>
  </si>
  <si>
    <t>YEAR TOTAL</t>
  </si>
  <si>
    <r>
      <t xml:space="preserve">Total Gross </t>
    </r>
    <r>
      <rPr>
        <b/>
        <u val="single"/>
        <sz val="8"/>
        <rFont val="Arial"/>
        <family val="2"/>
      </rPr>
      <t>Site</t>
    </r>
    <r>
      <rPr>
        <b/>
        <sz val="8"/>
        <rFont val="Arial"/>
        <family val="2"/>
      </rPr>
      <t xml:space="preserve"> Energy Usage: kWhr </t>
    </r>
  </si>
  <si>
    <r>
      <t xml:space="preserve">Total Gross </t>
    </r>
    <r>
      <rPr>
        <b/>
        <u val="single"/>
        <sz val="8"/>
        <rFont val="Arial"/>
        <family val="2"/>
      </rPr>
      <t>Source</t>
    </r>
    <r>
      <rPr>
        <b/>
        <sz val="8"/>
        <rFont val="Arial"/>
        <family val="2"/>
      </rPr>
      <t xml:space="preserve"> Energy Usage: </t>
    </r>
    <r>
      <rPr>
        <sz val="8"/>
        <rFont val="Arial"/>
        <family val="2"/>
      </rPr>
      <t>kWh</t>
    </r>
  </si>
  <si>
    <t xml:space="preserve">Fall 2008 energy (particularly electrical) consumption data is not representative as it involved consumption by 5 to 9 additional construction workers living or working on-site.  </t>
  </si>
  <si>
    <t>hrs</t>
  </si>
  <si>
    <t>M Btu/hr</t>
  </si>
  <si>
    <r>
      <t>kWhr/ yr/TFA sq m,</t>
    </r>
    <r>
      <rPr>
        <sz val="10"/>
        <rFont val="Arial"/>
        <family val="2"/>
      </rPr>
      <t xml:space="preserve"> perhaps meeting European 'PassivHaus' (15 kWhr/yr TFA sq m) criteria for space heating requirements.</t>
    </r>
    <r>
      <rPr>
        <b/>
        <sz val="10"/>
        <rFont val="Arial"/>
        <family val="2"/>
      </rPr>
      <t xml:space="preserve"> </t>
    </r>
  </si>
  <si>
    <t>Year Total</t>
  </si>
  <si>
    <t xml:space="preserve">YEAR ONE - PERFORMANCE DATA AND CALCULATIONS - 1st September 2008 to 31 August 2009 : </t>
  </si>
  <si>
    <t xml:space="preserve">YEAR TWO - PERFORMANCE DATA AND CALCULATIONS - 1 September to 30 November 2009 (under construction):  </t>
  </si>
  <si>
    <t xml:space="preserve">                   Total Winter Net Purchased Heat:</t>
  </si>
  <si>
    <t>Location: Greater Napanee, Ontario, Canada</t>
  </si>
  <si>
    <t>Notations &amp; Comments Regarding Year One Summary on Previous Page:</t>
  </si>
  <si>
    <t>Fall Tot.</t>
  </si>
  <si>
    <t>Combining Dec 2008 to Aug 2009 data with Sep to Nov 2009 data, annual total source energy consumption for the dwelling is about 83 kWh / m2a TFA / yr.  The PassivHaus Institute criteria is currently 120 kWh / m2a / yr.</t>
  </si>
  <si>
    <t>1.  Hi-efficiency, wood fired, high mass 'Norbert Senf/Masonry Stove Builders Heat-Kit' (firebrick and stone) , masonry heater centred in the dwelling (max: 24 k Btu/hr net),</t>
  </si>
  <si>
    <t>k Btu/hr  or</t>
  </si>
  <si>
    <r>
      <t>Effective Wall R:</t>
    </r>
    <r>
      <rPr>
        <sz val="8"/>
        <rFont val="Arial"/>
        <family val="2"/>
      </rPr>
      <t>(@ low temp.)</t>
    </r>
  </si>
  <si>
    <t>(75% of 2.1W / m2a day)</t>
  </si>
  <si>
    <r>
      <t xml:space="preserve">With an annual purchased heating load of only 11 M Btu, and a massive interior heated mass storing 77 k Btu/deg F, heating emergencies of </t>
    </r>
    <r>
      <rPr>
        <b/>
        <u val="single"/>
        <sz val="10"/>
        <rFont val="Arial"/>
        <family val="2"/>
      </rPr>
      <t>twelve consecutive days</t>
    </r>
    <r>
      <rPr>
        <b/>
        <sz val="10"/>
        <rFont val="Arial"/>
        <family val="2"/>
      </rPr>
      <t xml:space="preserve"> </t>
    </r>
  </si>
  <si>
    <t>4.  HRV recoveries average 12.6 M Btu/winter, plus internal heat gains average 6.5 M Btu/winter.</t>
  </si>
  <si>
    <t xml:space="preserve">both (i) the actual slightly colder than average winter '09 weather and (ii) construction flaws, purchased net wintertime heating was about 10.6 M Btu versus an expected 11.8 M Btu! </t>
  </si>
  <si>
    <t xml:space="preserve">Total cost of purchased heating fuel is expected to be about 5% of the $ 4,000 heating cost of a new home of near identical size and style built to just meet current Code   </t>
  </si>
  <si>
    <t>W/m2aTFA</t>
  </si>
  <si>
    <t>kw typical max. or</t>
  </si>
  <si>
    <t>The preliminary data suggests that the extensive interior mass creates a time delay effect, slightly reducing fall space heating requirements, but hindering springtime heating needs.</t>
  </si>
  <si>
    <t xml:space="preserve">involving simply hard coat low E glazing - eliminates about 95% of the space heating need of a similarly styled, conventionnally designed, new dwelling. </t>
  </si>
  <si>
    <t>0.2 Btu/ lb per deg. F.  Thus the steel ceiling can store 1.56 k Btu per deg. F., and the walls and floors about 63.2 k Btu/deg.F.!  The masonry heater and LP fireplace weigh</t>
  </si>
  <si>
    <t>Thermal Mass Gain: M Btu</t>
  </si>
  <si>
    <t>% Int&amp;Solar Gains</t>
  </si>
  <si>
    <t>less defect: HRV unusable; M Btu</t>
  </si>
  <si>
    <t>less defect: wet wood; M Btu</t>
  </si>
  <si>
    <t>const.fumes</t>
  </si>
  <si>
    <t>wndws opn</t>
  </si>
  <si>
    <t>litres of propane</t>
  </si>
  <si>
    <r>
      <t xml:space="preserve">At </t>
    </r>
    <r>
      <rPr>
        <b/>
        <u val="single"/>
        <sz val="10"/>
        <rFont val="Arial"/>
        <family val="2"/>
      </rPr>
      <t>no</t>
    </r>
    <r>
      <rPr>
        <b/>
        <sz val="10"/>
        <rFont val="Arial"/>
        <family val="2"/>
      </rPr>
      <t xml:space="preserve"> time was it either necessary, nor desired to use electrical baseboard heat in any portion of the dwelling.  </t>
    </r>
  </si>
  <si>
    <t>less defect: no Damper on Masonry Htr; M Btu</t>
  </si>
  <si>
    <t>Thermal Mass Loss: M Btu</t>
  </si>
  <si>
    <t>Approx.Picton DD@avgT</t>
  </si>
  <si>
    <t>Approx Napane DD@avgT</t>
  </si>
  <si>
    <t>est.106</t>
  </si>
  <si>
    <t>to 148</t>
  </si>
  <si>
    <t>to 149</t>
  </si>
  <si>
    <r>
      <t xml:space="preserve">Overall Electrical Consumption </t>
    </r>
    <r>
      <rPr>
        <b/>
        <sz val="10"/>
        <rFont val="Arial"/>
        <family val="2"/>
      </rPr>
      <t>(incl. DHWH):</t>
    </r>
  </si>
  <si>
    <t>est.98</t>
  </si>
  <si>
    <t>Effective Net Purchased Fuel: M Btu</t>
  </si>
  <si>
    <t>Hanover,DE: HDD 21.11C</t>
  </si>
  <si>
    <t>Hanover, DE: Avg.Temp. C.</t>
  </si>
  <si>
    <t>Picton, ON:  Avg.Tem. C.</t>
  </si>
  <si>
    <t xml:space="preserve">A.  The thermal envelope now encloses a 1232 sq ft s.f. dwelling, a 780 sq ft home occupation, 263 sq ft of semi-heated storage, plus a 256 sq ft mudroom/solar heater. </t>
  </si>
  <si>
    <t>wet firewood!</t>
  </si>
  <si>
    <t>Useful Sun Hours per mon:(6 / day max.)</t>
  </si>
  <si>
    <t>see note 1</t>
  </si>
  <si>
    <t>see note 2</t>
  </si>
  <si>
    <t>note 2: firewood was wet for all of Oct and half of Nov., also no damper, thus masonry heater was quite inefficient initially.</t>
  </si>
  <si>
    <t xml:space="preserve">     - Three clerestory windows &amp; two double thermal pane sliding patio doors facing due south, plus a thermal pane double 'French' door facing west in the mudroom (west wing). </t>
  </si>
  <si>
    <t>(see note 7)</t>
  </si>
  <si>
    <t xml:space="preserve">                 however, it was late April that another 30"x30" hole was found to have been left by contractor - </t>
  </si>
  <si>
    <t>chilly month</t>
  </si>
  <si>
    <t>0.85cord burnt</t>
  </si>
  <si>
    <t>0.046cord burnt</t>
  </si>
  <si>
    <t>0.12cord burnt</t>
  </si>
  <si>
    <t>0.36cord burnt</t>
  </si>
  <si>
    <t>early snow melt</t>
  </si>
  <si>
    <t xml:space="preserve">This is a ranch style house, converted from another use (ie: far from ideal) in a far worse climate, but preforms as well or better than 1/3 of the Hanover PassivHaus townhouse dwellings! </t>
  </si>
  <si>
    <t xml:space="preserve">    HRV Recoveries: 2.1 k Btu/hr</t>
  </si>
  <si>
    <t xml:space="preserve">    Internal Recoveries: 0.8 k Btu/hr</t>
  </si>
  <si>
    <t>a mid-day temperature of about 68 - 70 degrees F. - under worse case 'design day' January conditions.  The Jan. 1998 'Ice Storm' would have been no problem at all !!</t>
  </si>
  <si>
    <t>D.  Expected Thermal Performance: - Floor Area expanded by an additional 11% - but Passive Solar, with Deep Energy Retrofit Saves about 97% of Original Space Heating Need of the School !</t>
  </si>
  <si>
    <t>Btu/kWh</t>
  </si>
  <si>
    <t xml:space="preserve"> </t>
  </si>
  <si>
    <t>Expected Cost of Gross Purchased Heat (2008/9 $):</t>
  </si>
  <si>
    <t>Total Expected Net Purchased Heating:</t>
  </si>
  <si>
    <t>effective actual net purchased fuel</t>
  </si>
  <si>
    <t>modelled fuel need - average climate data</t>
  </si>
  <si>
    <t>Avg.Exp'd Net Purchased Fuel: M Btu</t>
  </si>
  <si>
    <t>Winter'09 Exp'd Purchased Fuel:M Btu</t>
  </si>
  <si>
    <t xml:space="preserve">3.  4,100 watts electric baseboard heating units distributed throughout dwelling ( max: 14k Btu/hr net - but as yet never used), and </t>
  </si>
  <si>
    <t>4.1kW Electric Baseboard Heating - dispersed:</t>
  </si>
  <si>
    <t>Floors: SE BR, Den, Studio, Workshop, Mudroom, Utility Rm Floor 1.5" concrete pavers on 1.5" foam, else Hardwood over TG ply with 1.5" foam;  4.1kW electric baseboard heating.</t>
  </si>
  <si>
    <t>HRV operable Nov.</t>
  </si>
  <si>
    <t>Damper installed Dec.</t>
  </si>
  <si>
    <t>Wet firewood Oct/Nov.</t>
  </si>
  <si>
    <t xml:space="preserve">             4.1k W Electric Baseboard  @ 99% eff &amp; duty cycle =</t>
  </si>
  <si>
    <t xml:space="preserve">   Expected Heating System Performance Measures:</t>
  </si>
  <si>
    <t>cloudy,</t>
  </si>
  <si>
    <t xml:space="preserve">A.  </t>
  </si>
  <si>
    <t xml:space="preserve">B.  </t>
  </si>
  <si>
    <t xml:space="preserve">C.  </t>
  </si>
  <si>
    <t xml:space="preserve">D.  </t>
  </si>
  <si>
    <t>Estimated LP burnt: litres</t>
  </si>
  <si>
    <t>Purchased Space Heating Fuel:</t>
  </si>
  <si>
    <t xml:space="preserve">Early in the winter there were heating inefficiencies from (i) HRV problems requiring open windows during the heated period, (ii) flue damper problems, and (iii) wet firewood. </t>
  </si>
  <si>
    <t xml:space="preserve">H.  </t>
  </si>
  <si>
    <t xml:space="preserve">This project clearly demonstrates that even in a non-ideal situation, a 'back to basics' renovation involving simple systems can sometimes provide exemplary performance!  </t>
  </si>
  <si>
    <t xml:space="preserve">    Recently, as a dwelling, wall and ceiling insulation had been about R4 and R7 respectively; - originally as a school, wall and ceiling insulation had been about R1.8 and R4.5.</t>
  </si>
  <si>
    <t>Winter 2008/09 Thermal Performance Summary:</t>
  </si>
  <si>
    <t>Year One Thermal Performance Summary (Winter 2008-2009)</t>
  </si>
  <si>
    <t xml:space="preserve">E.  </t>
  </si>
  <si>
    <t xml:space="preserve">F.  </t>
  </si>
  <si>
    <t xml:space="preserve">G.  </t>
  </si>
  <si>
    <t>Actual Wood Burnt: lbs.</t>
  </si>
  <si>
    <t>quite cold, but</t>
  </si>
  <si>
    <t>ice-free:1Apr</t>
  </si>
  <si>
    <t>0.79cord burnt</t>
  </si>
  <si>
    <t>Required Concrete Volume @ 28 Btu/cuft &amp; with</t>
  </si>
  <si>
    <t>Equivalent Volume 49 cuft of Indirectly Exposed Concrete Walls (@ 55% efficiency) cu ft:</t>
  </si>
  <si>
    <t>Note: LPG: 21,671 Btu/l is assumed, but sometimes can be 24,222 Btu/l.</t>
  </si>
  <si>
    <t>Wall:Larsen Truss variation - R:46.3 / 7" R6.613/" Urethane in blocked 2x3 &amp; 2x4 studs with 2x3 strapping, Ceiling R50 7.5" R6.613/" Urethane plus R0.85;    Hydro Rates for winter 2008-2009.</t>
  </si>
  <si>
    <t>dec.F(Picton, Ontario)</t>
  </si>
  <si>
    <t xml:space="preserve">    Well temperature @80ft:deg.F (14May'08), deg F:</t>
  </si>
  <si>
    <t xml:space="preserve">     mudroom operates as a passive solar heater, with high mass (steel and masonry) heat storage throughout the dwelling.  All glazing Thermotech fibreglass: </t>
  </si>
  <si>
    <t>% more heat req'd!</t>
  </si>
  <si>
    <t>Bottom Line:</t>
  </si>
  <si>
    <t>Room Height ft</t>
  </si>
  <si>
    <t>Room Length ft</t>
  </si>
  <si>
    <t>Room Width ft</t>
  </si>
  <si>
    <t>Doors &amp; Glass sqft</t>
  </si>
  <si>
    <t>Doors &amp; Glass U</t>
  </si>
  <si>
    <t>Exposed Wall Length ft</t>
  </si>
  <si>
    <t>Exposed Wall U</t>
  </si>
  <si>
    <t>Ceiling U</t>
  </si>
  <si>
    <t>Perimeter Ins Width ft</t>
  </si>
  <si>
    <t>Ceiling Loss Btu/hr F</t>
  </si>
  <si>
    <t>Door/Glass Loss Btu/hrF</t>
  </si>
  <si>
    <t>Infiltration Loss Btu/hr F</t>
  </si>
  <si>
    <t>Infiltr'n AC/H</t>
  </si>
  <si>
    <t>Sensible Heat Recovery:</t>
  </si>
  <si>
    <t>Vent'n AC/H:</t>
  </si>
  <si>
    <t>Ventilation Loss Btu/hr F</t>
  </si>
  <si>
    <t>September</t>
  </si>
  <si>
    <t>October</t>
  </si>
  <si>
    <t>November</t>
  </si>
  <si>
    <t>December</t>
  </si>
  <si>
    <t>January</t>
  </si>
  <si>
    <t>February</t>
  </si>
  <si>
    <t>March</t>
  </si>
  <si>
    <t>April</t>
  </si>
  <si>
    <t>May</t>
  </si>
  <si>
    <t>% Sunshine Kingston, ON</t>
  </si>
  <si>
    <t xml:space="preserve">   South</t>
  </si>
  <si>
    <t xml:space="preserve">   West</t>
  </si>
  <si>
    <t>Bellville Degree DaysC/m</t>
  </si>
  <si>
    <t>Kingston Degree DayC/m</t>
  </si>
  <si>
    <t>Avg Degree Day F/mo</t>
  </si>
  <si>
    <t>HEATING SEASON</t>
  </si>
  <si>
    <t>Above Ground Heat Load</t>
  </si>
  <si>
    <t>(Picton)</t>
  </si>
  <si>
    <t>(Napanee)</t>
  </si>
  <si>
    <t>Approx.No. Heating Days</t>
  </si>
  <si>
    <t>SEASONAL HEAT LOAD CALCULATION</t>
  </si>
  <si>
    <t>SIZING CONVENTIONAL BACKUP HEAT EQUIPMENT</t>
  </si>
  <si>
    <t>Interpolation of Seasonal Heat Gain Factors For 44 Degress Latitude and Building Angle 30 Degrees East of Due South</t>
  </si>
  <si>
    <t>East 40</t>
  </si>
  <si>
    <t>East 48</t>
  </si>
  <si>
    <t>litres/day expected</t>
  </si>
  <si>
    <t>South 40</t>
  </si>
  <si>
    <t>South 48</t>
  </si>
  <si>
    <t>West 40</t>
  </si>
  <si>
    <t>West 48</t>
  </si>
  <si>
    <t>SE (-45)</t>
  </si>
  <si>
    <t>SSE (-22.5)</t>
  </si>
  <si>
    <t>NE (-45)</t>
  </si>
  <si>
    <t>ENE (-22.5)</t>
  </si>
  <si>
    <r>
      <t xml:space="preserve">no purchased heating fuel, the unoccupied dwelling may well take a month and a half to drop to freezing!  </t>
    </r>
    <r>
      <rPr>
        <b/>
        <u val="single"/>
        <sz val="10"/>
        <rFont val="Arial"/>
        <family val="2"/>
      </rPr>
      <t>The risk of damage arising from heating system failure is very low!</t>
    </r>
    <r>
      <rPr>
        <b/>
        <sz val="10"/>
        <rFont val="Arial"/>
        <family val="2"/>
      </rPr>
      <t xml:space="preserve"> </t>
    </r>
  </si>
  <si>
    <r>
      <t xml:space="preserve">modelled fuel need-winter '09 adjusted </t>
    </r>
    <r>
      <rPr>
        <sz val="8"/>
        <rFont val="Arial"/>
        <family val="2"/>
      </rPr>
      <t xml:space="preserve">(notes3,4) </t>
    </r>
  </si>
  <si>
    <t>1.6 fctr for new/old snow 11 &amp; 27 Jan '09 measurements</t>
  </si>
  <si>
    <t xml:space="preserve">All of the winter space heating needs could easily be satisfied through normal suppertime cooking/meal preparation using the bake oven in the masonry heater.  </t>
  </si>
  <si>
    <t>SSW PM</t>
  </si>
  <si>
    <t>SW PM</t>
  </si>
  <si>
    <t>ESE PM</t>
  </si>
  <si>
    <t>SE PM</t>
  </si>
  <si>
    <t xml:space="preserve">    Studio</t>
  </si>
  <si>
    <t xml:space="preserve">      Extras</t>
  </si>
  <si>
    <t xml:space="preserve">       Totals</t>
  </si>
  <si>
    <t>Perim.Ins R:</t>
  </si>
  <si>
    <t>Perimeter Ins U</t>
  </si>
  <si>
    <t>Perimeter Ins Width: ft</t>
  </si>
  <si>
    <t>Interior Area: sq ft</t>
  </si>
  <si>
    <t>sq ft/sq m</t>
  </si>
  <si>
    <t>sq m</t>
  </si>
  <si>
    <t>Winter Total Thermal Loss per DegDayF per net floor area:</t>
  </si>
  <si>
    <t>Net Purchased Heat Btu/DegDay64F/net sq ft</t>
  </si>
  <si>
    <t>Gross H  Req't Btu/DegDay64F/net sq ft</t>
  </si>
  <si>
    <t>Net Purchased Heat: Btu / DegDay64F</t>
  </si>
  <si>
    <t>Net Purchased Heat Btu/day/net sq ft</t>
  </si>
  <si>
    <t>kWh/TFA sq m</t>
  </si>
  <si>
    <t xml:space="preserve">However, it won't satisfy the requirements for PassivHaus Certification because of the significant area dedicated to the insulated, but un-heated mudroom/solar heater and semi-heated storage </t>
  </si>
  <si>
    <t>and this renovation proves that deep energy retrofits can be just as successful in all manners with the exception of the foorprint of the materials in our larger homes.  While we should place</t>
  </si>
  <si>
    <t xml:space="preserve">higher emphasis on the reduction of the footprint of our new housing, the existing housing stock need not be considered obsolete - but a resource worthy of significant energy efficient upgrade! </t>
  </si>
  <si>
    <r>
      <t xml:space="preserve">(ie: property is far too valuable in Europe, and attached multi-storey, high density complexes are essential).  However, in North America, there are millions of </t>
    </r>
    <r>
      <rPr>
        <b/>
        <u val="single"/>
        <sz val="10"/>
        <rFont val="Arial"/>
        <family val="2"/>
      </rPr>
      <t>existing</t>
    </r>
    <r>
      <rPr>
        <b/>
        <sz val="10"/>
        <rFont val="Arial"/>
        <family val="2"/>
      </rPr>
      <t xml:space="preserve"> single storey dwellings,</t>
    </r>
  </si>
  <si>
    <t>Btu / hr</t>
  </si>
  <si>
    <t>Slab Heat Load</t>
  </si>
  <si>
    <t>SlabPerimLoss Btu/hrmin</t>
  </si>
  <si>
    <t>Max-Total Slab Loss Btu/hr</t>
  </si>
  <si>
    <t>Min-Total Slab Loss Btu/hr</t>
  </si>
  <si>
    <t>Slab Down Loss:  Btu/hr</t>
  </si>
  <si>
    <t>Floor R Value</t>
  </si>
  <si>
    <t>Tot.U,R Floor + Soil R5.04</t>
  </si>
  <si>
    <t>Slab Down Loss Btu/hr/F</t>
  </si>
  <si>
    <t>ROOMS</t>
  </si>
  <si>
    <t>Floor Finish</t>
  </si>
  <si>
    <t>Belt R Value:</t>
  </si>
  <si>
    <t>for lower 1 ft</t>
  </si>
  <si>
    <t>Belt Loss Btu/hr F</t>
  </si>
  <si>
    <t>Total Wall Loss Btu/hr F</t>
  </si>
  <si>
    <t>Design Day Heat Loss Btu/hr:</t>
  </si>
  <si>
    <t>Annual Backup Heating Cost:</t>
  </si>
  <si>
    <t>Btu/hr net</t>
  </si>
  <si>
    <t xml:space="preserve">     (normal)</t>
  </si>
  <si>
    <t xml:space="preserve">      (hydro emergency)</t>
  </si>
  <si>
    <t>hardwood</t>
  </si>
  <si>
    <t>Wall Loss Btu/hr F</t>
  </si>
  <si>
    <t xml:space="preserve"> Mstr Bdrm</t>
  </si>
  <si>
    <t>Ground Temp 5' below slab F:</t>
  </si>
  <si>
    <t>Slab Periphery Load Btu</t>
  </si>
  <si>
    <t>Slab Heat Load Btu</t>
  </si>
  <si>
    <t>Ratio Approx.Actual to Expected Solar Gain:</t>
  </si>
  <si>
    <t>Passive Solar Gain:</t>
  </si>
  <si>
    <t xml:space="preserve">B.  Primary Heating System:  South and west facing passive solar gain windows (approx. 50% of space heating need), (Feb. clear sky max.: about 300k Btu/day), </t>
  </si>
  <si>
    <t>Internal Recoveries: 1.25 k Btu/hr</t>
  </si>
  <si>
    <t>Internal Recoveries: 0.8 k Btu/hr</t>
  </si>
  <si>
    <r>
      <t>RECOMMENDED 'DESIGN DAY' HEATING STRATEGY</t>
    </r>
    <r>
      <rPr>
        <b/>
        <sz val="10"/>
        <rFont val="Arial"/>
        <family val="2"/>
      </rPr>
      <t xml:space="preserve"> - outside temperature: minus 5.8 deg.F -  (2.5% - typical worst case) </t>
    </r>
  </si>
  <si>
    <t>HRV Recoveries: 3.6 k Btu/hr</t>
  </si>
  <si>
    <t xml:space="preserve">    Internal Recoveries: 0.4 k Btu/hr (no back-up power)</t>
  </si>
  <si>
    <t>Wall R excluding Ins: R5.8</t>
  </si>
  <si>
    <t>DenKitchen</t>
  </si>
  <si>
    <t>Tables 15 to 18 '93 ASHRAE</t>
  </si>
  <si>
    <t>"Handbook of Fundamentals"</t>
  </si>
  <si>
    <t>EnsuiteBath</t>
  </si>
  <si>
    <t>SIZING SLAB OF CONCRETE PAVERS FOR FEBRUARY SUNNY DAY</t>
  </si>
  <si>
    <t xml:space="preserve">  Main Bath</t>
  </si>
  <si>
    <t>paver/hwood</t>
  </si>
  <si>
    <t xml:space="preserve">  Utility Rm</t>
  </si>
  <si>
    <t xml:space="preserve"> hardwood</t>
  </si>
  <si>
    <t xml:space="preserve">    paver</t>
  </si>
  <si>
    <t>% Sunshine Trenton, ON</t>
  </si>
  <si>
    <t>%</t>
  </si>
  <si>
    <t>Workshop</t>
  </si>
  <si>
    <t xml:space="preserve">   paver</t>
  </si>
  <si>
    <t>South</t>
  </si>
  <si>
    <t>West</t>
  </si>
  <si>
    <t>Sunlit Glass sqft South/day</t>
  </si>
  <si>
    <t>---------------</t>
  </si>
  <si>
    <t>S</t>
  </si>
  <si>
    <t>W</t>
  </si>
  <si>
    <t>Calc West 44 (average):</t>
  </si>
  <si>
    <t>Calc South 44 (average):</t>
  </si>
  <si>
    <t>South 30E 44 (average):</t>
  </si>
  <si>
    <t>East 30N 44 (average):</t>
  </si>
  <si>
    <t>West 30S 44 (average)</t>
  </si>
  <si>
    <t>Slab Down Load Btu</t>
  </si>
  <si>
    <t>Above-Gnd Loss Btu/hr F</t>
  </si>
  <si>
    <t>SlabPerimLoss Btu/hr/F</t>
  </si>
  <si>
    <t>SlabPerimLoss Btu/hrmax</t>
  </si>
  <si>
    <t>Design Day Loss Btu/hr</t>
  </si>
  <si>
    <t>M Btu/yr</t>
  </si>
  <si>
    <t xml:space="preserve">     total</t>
  </si>
  <si>
    <t xml:space="preserve">     usable</t>
  </si>
  <si>
    <t>% Loss by Room:</t>
  </si>
  <si>
    <t>Design Day Loss kW</t>
  </si>
  <si>
    <t>Equivalent Volume 1540 cuft of Non-Exposed Concrete Walls (@ 25% efficiency) cu ft:</t>
  </si>
  <si>
    <t xml:space="preserve">   Dining</t>
  </si>
  <si>
    <t xml:space="preserve">Gross Ext Wall Area </t>
  </si>
  <si>
    <t>Net Ext Wall Area</t>
  </si>
  <si>
    <t xml:space="preserve">  SE Bdrm</t>
  </si>
  <si>
    <t>South Wall Solar Recovery</t>
  </si>
  <si>
    <t>MBtu/mon</t>
  </si>
  <si>
    <t>% Sunshine K&amp;T average:</t>
  </si>
  <si>
    <t>M Btu</t>
  </si>
  <si>
    <t>Mbtu</t>
  </si>
  <si>
    <t>Winter Seasonal Thermal Load</t>
  </si>
  <si>
    <t>k Btu/hr</t>
  </si>
  <si>
    <t>Wood Fired Masonry Heater in Studio:</t>
  </si>
  <si>
    <t>Liquid Propane Fireplace in Living Room:</t>
  </si>
  <si>
    <t>System Heating Capability (Max.)</t>
  </si>
  <si>
    <t>Design Day Thermal Loss/Outside-Inside Delta T:</t>
  </si>
  <si>
    <r>
      <t>C.  Secondary Heating Systems:</t>
    </r>
    <r>
      <rPr>
        <sz val="10"/>
        <rFont val="Arial"/>
        <family val="0"/>
      </rPr>
      <t xml:space="preserve">  </t>
    </r>
  </si>
  <si>
    <t>per winter season per net sq ft</t>
  </si>
  <si>
    <t xml:space="preserve">   Total Annual Heating Load per Year:</t>
  </si>
  <si>
    <t xml:space="preserve">   Annual Heating Provisions:</t>
  </si>
  <si>
    <t>Masonry Heater (Norbert Senf) in Studio 20kBtu/hr</t>
  </si>
  <si>
    <t>Case 2: Non-Occupied Emergency</t>
  </si>
  <si>
    <t>Winter  passive solar (five south windows plus</t>
  </si>
  <si>
    <t xml:space="preserve">    Winter passive solar (five south windows plus</t>
  </si>
  <si>
    <t>Avg.Indoor Temperature F</t>
  </si>
  <si>
    <t xml:space="preserve">          43,000 Btu Propane Fireplace @ 77% eff &amp; duty cycle =</t>
  </si>
  <si>
    <t>Regency P40 LP fireplace in Liv Rm 33.2 k Btu/hr</t>
  </si>
  <si>
    <t>inputs:</t>
  </si>
  <si>
    <t>fixed south window U:</t>
  </si>
  <si>
    <t>awning south window U:</t>
  </si>
  <si>
    <t>fixed other window U:</t>
  </si>
  <si>
    <t>awning other window U:</t>
  </si>
  <si>
    <t>fixed south window SHGC:</t>
  </si>
  <si>
    <t>French door U:</t>
  </si>
  <si>
    <t>French Door SHGC:</t>
  </si>
  <si>
    <t>SE Bedroom Window U</t>
  </si>
  <si>
    <t>Studio Window U</t>
  </si>
  <si>
    <t>Den patio sl3 door U:</t>
  </si>
  <si>
    <t>Den patio sl3 door SHGC:</t>
  </si>
  <si>
    <t>computes:</t>
  </si>
  <si>
    <t>Massena Radiation</t>
  </si>
  <si>
    <t>kWh/mm/day</t>
  </si>
  <si>
    <t>Rochester Radiation</t>
  </si>
  <si>
    <t>Syracuse Radiation</t>
  </si>
  <si>
    <t>Average NREL Rad'n</t>
  </si>
  <si>
    <t>Btu/sqft/day</t>
  </si>
  <si>
    <t>Glass Properties</t>
  </si>
  <si>
    <t>Window Properties</t>
  </si>
  <si>
    <t xml:space="preserve">South Glass SHGC: </t>
  </si>
  <si>
    <t>gain-loss difference method</t>
  </si>
  <si>
    <t>blower gain method</t>
  </si>
  <si>
    <t>average of above methods</t>
  </si>
  <si>
    <t>(double that of CO test)</t>
  </si>
  <si>
    <t>kWhr</t>
  </si>
  <si>
    <t>modelled fuel need-winter '10 NRCan adj</t>
  </si>
  <si>
    <t xml:space="preserve">Under average January weather and average solar insolation - but with no purchased fuel, one could coast sixteen and a half days for the interior temperature to </t>
  </si>
  <si>
    <t xml:space="preserve"> k Btu/hr seasonal average</t>
  </si>
  <si>
    <r>
      <t xml:space="preserve">k Btu/hr after </t>
    </r>
    <r>
      <rPr>
        <b/>
        <u val="single"/>
        <sz val="10"/>
        <rFont val="Arial"/>
        <family val="2"/>
      </rPr>
      <t>five days</t>
    </r>
    <r>
      <rPr>
        <b/>
        <sz val="10"/>
        <rFont val="Arial"/>
        <family val="2"/>
      </rPr>
      <t xml:space="preserve"> ( to possibly 16.7 days) of coasting down to 50 degrees F. </t>
    </r>
  </si>
  <si>
    <t>close to expectations</t>
  </si>
  <si>
    <t xml:space="preserve">note 6: Re: electrical consumption, includes one construction trailer until mid-Dec. </t>
  </si>
  <si>
    <t xml:space="preserve">note 5: Re: electrical consumption, includes three construction trailers until mid-Nov. </t>
  </si>
  <si>
    <t>Glass SHGC &amp; Tree Fctr:</t>
  </si>
  <si>
    <t xml:space="preserve">West Glass SHGC: </t>
  </si>
  <si>
    <t xml:space="preserve">                           West/day:</t>
  </si>
  <si>
    <t xml:space="preserve"> Btu/day</t>
  </si>
  <si>
    <t>Total Heat Loss, M Btu:</t>
  </si>
  <si>
    <t xml:space="preserve">Under consistant worst case (Design Day) situation (no sun &amp; no purchased heat), It will take five days before the temperature drops </t>
  </si>
  <si>
    <t>This 12 day period is 2.4 times more than the total expected average number of 'Design Days' occurring each winter!  With typical January weather and typical solar insolation, but</t>
  </si>
  <si>
    <t>WHAT IS THE LIKELIHOOD THAT THE TEMPERATURE IN THE DWELLING MIGHT DROP TO LEVELS WHERE DAMAGE FROM PIPE FREEZING MIGHT OCCUR?</t>
  </si>
  <si>
    <t>Gross Heat Req't Btu/day/degree F</t>
  </si>
  <si>
    <t>Gross Heat Req't Btu/day/net sq ft</t>
  </si>
  <si>
    <t>degrees F,</t>
  </si>
  <si>
    <t>Consider Newton's Law of Thermal Conduction to approximate the dwelling's thermal performance:</t>
  </si>
  <si>
    <t>Net Area: sq ft</t>
  </si>
  <si>
    <t>Outside Design Day Temp F:</t>
  </si>
  <si>
    <t>Average Temperature F:Picton</t>
  </si>
  <si>
    <t>Total Required Heat @ -5.8 F:</t>
  </si>
  <si>
    <t>E.  Expected Thermal Performance in the Event of Extended Hydro or Fuel Emergency:</t>
  </si>
  <si>
    <t>Gross H Req'tBtu/day/degF/ net sqft</t>
  </si>
  <si>
    <t>U.S. NREL Weather Data For Comparison Purposes</t>
  </si>
  <si>
    <t>Totals</t>
  </si>
  <si>
    <t xml:space="preserve">   Design Day (-5.8 degrees F) Thermal Loss:</t>
  </si>
  <si>
    <t xml:space="preserve">     - Three 89" x 72" &amp; two 73"x72" hi perf. thermal triple pane windows and an oversize, double thermal triple pane sliding patio door facing east of south in the main dwelling area, </t>
  </si>
  <si>
    <t>slate</t>
  </si>
  <si>
    <t>No. of Days in Month:</t>
  </si>
  <si>
    <t>Ti =</t>
  </si>
  <si>
    <t>To =</t>
  </si>
  <si>
    <t xml:space="preserve">G.  Thermal Performance - Summary: </t>
  </si>
  <si>
    <t>F.  Effect of Weather Variability:</t>
  </si>
  <si>
    <t>Mudroom</t>
  </si>
  <si>
    <t>concrete</t>
  </si>
  <si>
    <t>NON-OCCUPIED, Temperature Maintained @ 50 deg F</t>
  </si>
  <si>
    <t xml:space="preserve">electric: </t>
  </si>
  <si>
    <t xml:space="preserve">propane: </t>
  </si>
  <si>
    <t xml:space="preserve">wood: </t>
  </si>
  <si>
    <t>Total</t>
  </si>
  <si>
    <t>MudRm South Net Gain Btu/day</t>
  </si>
  <si>
    <t>MudRm West Net Gain Btu/day</t>
  </si>
  <si>
    <t>Base MudRm Loss Btu/mon</t>
  </si>
  <si>
    <t xml:space="preserve">HEATING SYSTEM CAPABILITY: </t>
  </si>
  <si>
    <t>Secondary Systems:</t>
  </si>
  <si>
    <t xml:space="preserve">    Regency P40 LP fireplace in Living Room: 12-43 k Btu @ 77%=33.2 k Btu/hr max</t>
  </si>
  <si>
    <t xml:space="preserve">    Regency P40 LP fireplace in Liv Rm: 12 k Btu/hr (assuming no backup power)</t>
  </si>
  <si>
    <t xml:space="preserve">    Contribution from existing concrete floor slab:  2k to 3k Btu/hr. </t>
  </si>
  <si>
    <t>Masonry Heater (Norbert Senf) in Studio 24kBtu/hr</t>
  </si>
  <si>
    <t>Btu/hr-F</t>
  </si>
  <si>
    <t xml:space="preserve">hr, or = </t>
  </si>
  <si>
    <t xml:space="preserve">days. </t>
  </si>
  <si>
    <t xml:space="preserve">T final = T outside + (T initial inside - T outside) exp (-t / RC) = </t>
  </si>
  <si>
    <t xml:space="preserve"> + </t>
  </si>
  <si>
    <t>exp (-t /</t>
  </si>
  <si>
    <t xml:space="preserve">) = </t>
  </si>
  <si>
    <t xml:space="preserve">thus </t>
  </si>
  <si>
    <t xml:space="preserve"> = </t>
  </si>
  <si>
    <t>)</t>
  </si>
  <si>
    <t>and thus</t>
  </si>
  <si>
    <t xml:space="preserve"> = exp (-t / </t>
  </si>
  <si>
    <t xml:space="preserve">taking natural logs, </t>
  </si>
  <si>
    <t xml:space="preserve">ln of </t>
  </si>
  <si>
    <t xml:space="preserve">is </t>
  </si>
  <si>
    <t xml:space="preserve"> = - t / </t>
  </si>
  <si>
    <t xml:space="preserve">thus t = </t>
  </si>
  <si>
    <t xml:space="preserve">hours, or </t>
  </si>
  <si>
    <t xml:space="preserve">consecutive days to drop to freezing worst case!  </t>
  </si>
  <si>
    <t xml:space="preserve">However, such severe weather averages only five days total per winter! </t>
  </si>
  <si>
    <t xml:space="preserve">Btu/hr-F </t>
  </si>
  <si>
    <t>Internal, Mass &amp; HRV Gains:</t>
  </si>
  <si>
    <t>Source Kitchen Range LP: kWhr</t>
  </si>
  <si>
    <t>kWhr Total Source Energy</t>
  </si>
  <si>
    <t>kWhr Source Kitchen Range LP</t>
  </si>
  <si>
    <t>Site Kitchen Range LP: kWh</t>
  </si>
  <si>
    <t>Site Non Space Ht. Electr. Used kWhr:</t>
  </si>
  <si>
    <t>kWh/net sq m Tot. Source Energy per TFA</t>
  </si>
  <si>
    <t>M Btu Solar Gain</t>
  </si>
  <si>
    <t>litres</t>
  </si>
  <si>
    <t>Total Household Energy Use</t>
  </si>
  <si>
    <t>kWhr Tot. Electr.at Main Meter</t>
  </si>
  <si>
    <t>kWhr electr. Space Heat</t>
  </si>
  <si>
    <t>M Btu Site Elect. Space Heat</t>
  </si>
  <si>
    <t>M Btu Srce El. Sp</t>
  </si>
  <si>
    <t>M Btu Net El Space</t>
  </si>
  <si>
    <t>M Btu Expected Solar Gain</t>
  </si>
  <si>
    <t>sun hours</t>
  </si>
  <si>
    <t>M Btu/hr Exp.Solar Gain/hr</t>
  </si>
  <si>
    <t>hrs, measured solar hours</t>
  </si>
  <si>
    <t>hrs, usefull solar hrs</t>
  </si>
  <si>
    <t>Btu / yr / DD64.4F / net sqft purchased net heat</t>
  </si>
  <si>
    <t>Total Expected Net Solar, Int. &amp; HRV Gains:</t>
  </si>
  <si>
    <t>321AFG Tir #5, argon</t>
  </si>
  <si>
    <t>211AFG TiR, #3, argon</t>
  </si>
  <si>
    <t>211AFG TiR, #2, argon plus storm</t>
  </si>
  <si>
    <t>South Glass Adj. SHGC:</t>
  </si>
  <si>
    <t>West Glass Adj.SHGC:</t>
  </si>
  <si>
    <t>superheating effect</t>
  </si>
  <si>
    <t>Usable Net Gains: M Btu:</t>
  </si>
  <si>
    <t>(ie: capability is four times max. req't !! )</t>
  </si>
  <si>
    <t xml:space="preserve">consecutive days to drop to freezing with typical January weather! !  </t>
  </si>
  <si>
    <t>(ie: The rate of heat flow is proportional to temperature difference, thus interior temperature of a cooling mass decays as a logarithm function over time.)</t>
  </si>
  <si>
    <t>HEAT REQUIRED for Design Day:</t>
  </si>
  <si>
    <t>Primary System:</t>
  </si>
  <si>
    <t>% purchased heating</t>
  </si>
  <si>
    <r>
      <t xml:space="preserve">Any </t>
    </r>
    <r>
      <rPr>
        <b/>
        <u val="single"/>
        <sz val="10"/>
        <rFont val="Arial"/>
        <family val="2"/>
      </rPr>
      <t>one</t>
    </r>
    <r>
      <rPr>
        <b/>
        <sz val="10"/>
        <rFont val="Arial"/>
        <family val="2"/>
      </rPr>
      <t xml:space="preserve"> 'purchased fuel' heat source (electric baseboards, LP fireplace or wood fired masonry heater) plus typical solar can maintain the dwelling at </t>
    </r>
  </si>
  <si>
    <t>322LOF EA2, #3#5,argon</t>
  </si>
  <si>
    <t xml:space="preserve">Window and Door Input Parameters - all frames are fiberglass by Thermotech </t>
  </si>
  <si>
    <t>Mudrm patio sl2 doors U:</t>
  </si>
  <si>
    <t>awn.south window SHGC:</t>
  </si>
  <si>
    <t>Den Doors &amp; Trans. U:</t>
  </si>
  <si>
    <t>Area sqft</t>
  </si>
  <si>
    <t>Mudrm clerestories SHGC</t>
  </si>
  <si>
    <t>Mudrm clerestories U:</t>
  </si>
  <si>
    <t>Mudrm sl2 doors SHGC:</t>
  </si>
  <si>
    <t>Avg. Main U:</t>
  </si>
  <si>
    <t>Avg. Main SHGC:</t>
  </si>
  <si>
    <t>Avg. Mudrm U:</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</si>
</sst>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
    <numFmt numFmtId="177" formatCode="_(* #,##0.0_);_(* \(#,##0.0\);_(* &quot;-&quot;??_);_(@_)"/>
    <numFmt numFmtId="178" formatCode="_(* #,##0_);_(* \(#,##0\);_(* &quot;-&quot;??_);_(@_)"/>
    <numFmt numFmtId="179" formatCode="_(* #,##0.0_);_(* \(#,##0.0\);_(* &quot;-&quot;?_);_(@_)"/>
    <numFmt numFmtId="180" formatCode="0.00000000"/>
    <numFmt numFmtId="181" formatCode="0.0000000"/>
    <numFmt numFmtId="182" formatCode="_(&quot;$&quot;* #,##0.0_);_(&quot;$&quot;* \(#,##0.0\);_(&quot;$&quot;* &quot;-&quot;??_);_(@_)"/>
    <numFmt numFmtId="183" formatCode="_(&quot;$&quot;* #,##0_);_(&quot;$&quot;* \(#,##0\);_(&quot;$&quot;* &quot;-&quot;??_);_(@_)"/>
    <numFmt numFmtId="184" formatCode="_(&quot;$&quot;* #,##0.000_);_(&quot;$&quot;* \(#,##0.000\);_(&quot;$&quot;* &quot;-&quot;??_);_(@_)"/>
    <numFmt numFmtId="185" formatCode="&quot;Yes&quot;;&quot;Yes&quot;;&quot;No&quot;"/>
    <numFmt numFmtId="186" formatCode="&quot;True&quot;;&quot;True&quot;;&quot;False&quot;"/>
    <numFmt numFmtId="187" formatCode="&quot;On&quot;;&quot;On&quot;;&quot;Off&quot;"/>
    <numFmt numFmtId="188" formatCode="#,##0.0"/>
    <numFmt numFmtId="189" formatCode="#,##0.000"/>
    <numFmt numFmtId="190" formatCode="_-* #,##0.000_-;\-* #,##0.000_-;_-* &quot;-&quot;???_-;_-@_-"/>
    <numFmt numFmtId="191" formatCode="_-* #,##0.0_-;\-* #,##0.0_-;_-* &quot;-&quot;??_-;_-@_-"/>
    <numFmt numFmtId="192" formatCode="_-* #,##0_-;\-* #,##0_-;_-* &quot;-&quot;??_-;_-@_-"/>
    <numFmt numFmtId="193" formatCode="_-* #,##0.0000_-;\-* #,##0.0000_-;_-* &quot;-&quot;????_-;_-@_-"/>
    <numFmt numFmtId="194" formatCode="0.00000000000"/>
    <numFmt numFmtId="195" formatCode="0.0000000000"/>
    <numFmt numFmtId="196" formatCode="0.000000000"/>
    <numFmt numFmtId="197" formatCode="0.00000000000000"/>
    <numFmt numFmtId="198" formatCode="0.000000000000000"/>
    <numFmt numFmtId="199" formatCode="0.0000000000000"/>
    <numFmt numFmtId="200" formatCode="0.000000000000"/>
  </numFmts>
  <fonts count="22">
    <font>
      <sz val="10"/>
      <name val="Arial"/>
      <family val="0"/>
    </font>
    <font>
      <u val="single"/>
      <sz val="10"/>
      <color indexed="12"/>
      <name val="Arial"/>
      <family val="0"/>
    </font>
    <font>
      <u val="single"/>
      <sz val="10"/>
      <color indexed="36"/>
      <name val="Arial"/>
      <family val="0"/>
    </font>
    <font>
      <b/>
      <sz val="10"/>
      <name val="Arial"/>
      <family val="2"/>
    </font>
    <font>
      <b/>
      <i/>
      <sz val="10"/>
      <name val="Arial"/>
      <family val="2"/>
    </font>
    <font>
      <u val="single"/>
      <sz val="10"/>
      <name val="Arial"/>
      <family val="2"/>
    </font>
    <font>
      <sz val="9"/>
      <name val="Arial"/>
      <family val="2"/>
    </font>
    <font>
      <sz val="8"/>
      <name val="Arial"/>
      <family val="2"/>
    </font>
    <font>
      <b/>
      <sz val="8"/>
      <name val="Arial"/>
      <family val="2"/>
    </font>
    <font>
      <b/>
      <u val="single"/>
      <sz val="10"/>
      <name val="Arial"/>
      <family val="2"/>
    </font>
    <font>
      <b/>
      <sz val="12"/>
      <name val="Arial"/>
      <family val="2"/>
    </font>
    <font>
      <i/>
      <sz val="10"/>
      <name val="Arial"/>
      <family val="2"/>
    </font>
    <font>
      <b/>
      <sz val="9"/>
      <name val="Arial"/>
      <family val="2"/>
    </font>
    <font>
      <b/>
      <sz val="11"/>
      <name val="Arial"/>
      <family val="2"/>
    </font>
    <font>
      <sz val="9"/>
      <color indexed="8"/>
      <name val="Arial"/>
      <family val="2"/>
    </font>
    <font>
      <b/>
      <sz val="12"/>
      <color indexed="10"/>
      <name val="Arial"/>
      <family val="2"/>
    </font>
    <font>
      <sz val="7"/>
      <name val="Arial"/>
      <family val="2"/>
    </font>
    <font>
      <b/>
      <sz val="10"/>
      <color indexed="10"/>
      <name val="Arial"/>
      <family val="2"/>
    </font>
    <font>
      <sz val="6"/>
      <name val="Arial"/>
      <family val="2"/>
    </font>
    <font>
      <b/>
      <u val="single"/>
      <sz val="12"/>
      <name val="Arial"/>
      <family val="2"/>
    </font>
    <font>
      <b/>
      <sz val="7"/>
      <name val="Arial"/>
      <family val="2"/>
    </font>
    <font>
      <b/>
      <u val="single"/>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3" fillId="0" borderId="0" xfId="0" applyFont="1" applyAlignment="1">
      <alignment/>
    </xf>
    <xf numFmtId="9"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167" fontId="0" fillId="0" borderId="0" xfId="0" applyNumberFormat="1" applyAlignment="1">
      <alignment/>
    </xf>
    <xf numFmtId="167" fontId="6" fillId="0" borderId="0" xfId="0" applyNumberFormat="1" applyFont="1" applyAlignment="1">
      <alignment/>
    </xf>
    <xf numFmtId="167" fontId="7" fillId="0" borderId="0" xfId="0" applyNumberFormat="1" applyFont="1" applyAlignment="1">
      <alignment/>
    </xf>
    <xf numFmtId="0" fontId="8" fillId="0" borderId="0" xfId="0" applyFont="1" applyAlignment="1">
      <alignment/>
    </xf>
    <xf numFmtId="3" fontId="0" fillId="0" borderId="0" xfId="0" applyNumberFormat="1" applyAlignment="1">
      <alignment/>
    </xf>
    <xf numFmtId="0" fontId="0" fillId="0" borderId="0" xfId="0" applyAlignment="1">
      <alignment horizontal="right"/>
    </xf>
    <xf numFmtId="0" fontId="3" fillId="0" borderId="0" xfId="0" applyFont="1" applyAlignment="1">
      <alignment horizontal="center"/>
    </xf>
    <xf numFmtId="0" fontId="0" fillId="0" borderId="0" xfId="0" applyAlignment="1" quotePrefix="1">
      <alignment/>
    </xf>
    <xf numFmtId="0" fontId="9" fillId="0" borderId="0" xfId="0" applyFont="1" applyAlignment="1">
      <alignment/>
    </xf>
    <xf numFmtId="0" fontId="3" fillId="0" borderId="0" xfId="0" applyFont="1" applyAlignment="1">
      <alignment horizontal="right"/>
    </xf>
    <xf numFmtId="167" fontId="3" fillId="0" borderId="0" xfId="0" applyNumberFormat="1" applyFont="1" applyAlignment="1">
      <alignment/>
    </xf>
    <xf numFmtId="0" fontId="10" fillId="0" borderId="0" xfId="0" applyFont="1" applyAlignment="1">
      <alignment/>
    </xf>
    <xf numFmtId="0" fontId="0" fillId="0" borderId="0" xfId="0" applyAlignment="1">
      <alignment horizontal="center"/>
    </xf>
    <xf numFmtId="0" fontId="0" fillId="0" borderId="0" xfId="0" applyAlignment="1">
      <alignment horizontal="left"/>
    </xf>
    <xf numFmtId="173"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 fontId="3" fillId="0" borderId="0" xfId="0" applyNumberFormat="1" applyFont="1" applyAlignment="1">
      <alignment/>
    </xf>
    <xf numFmtId="174" fontId="3" fillId="0" borderId="0" xfId="0" applyNumberFormat="1" applyFont="1" applyAlignment="1">
      <alignment/>
    </xf>
    <xf numFmtId="2" fontId="3" fillId="0" borderId="0" xfId="0" applyNumberFormat="1" applyFont="1" applyAlignment="1">
      <alignment/>
    </xf>
    <xf numFmtId="175" fontId="3" fillId="0" borderId="0" xfId="0" applyNumberFormat="1" applyFont="1" applyAlignment="1">
      <alignment/>
    </xf>
    <xf numFmtId="0" fontId="3" fillId="0" borderId="0" xfId="0" applyFont="1" applyAlignment="1">
      <alignment horizontal="left"/>
    </xf>
    <xf numFmtId="2" fontId="9" fillId="0" borderId="0" xfId="0" applyNumberFormat="1" applyFont="1" applyAlignment="1">
      <alignment/>
    </xf>
    <xf numFmtId="175" fontId="5" fillId="0" borderId="0" xfId="0" applyNumberFormat="1" applyFont="1" applyAlignment="1">
      <alignment/>
    </xf>
    <xf numFmtId="2" fontId="0" fillId="0" borderId="0" xfId="0" applyNumberFormat="1" applyFont="1" applyAlignment="1">
      <alignment/>
    </xf>
    <xf numFmtId="1" fontId="0" fillId="0" borderId="0" xfId="0" applyNumberFormat="1" applyFont="1" applyAlignment="1">
      <alignment/>
    </xf>
    <xf numFmtId="175" fontId="3" fillId="0" borderId="0" xfId="0" applyNumberFormat="1" applyFont="1" applyAlignment="1">
      <alignment horizontal="right"/>
    </xf>
    <xf numFmtId="170" fontId="3" fillId="0" borderId="0" xfId="17" applyFont="1" applyAlignment="1">
      <alignment horizontal="right"/>
    </xf>
    <xf numFmtId="171" fontId="3" fillId="0" borderId="0" xfId="15" applyFont="1" applyAlignment="1">
      <alignment/>
    </xf>
    <xf numFmtId="175" fontId="0" fillId="0" borderId="0" xfId="0" applyNumberFormat="1" applyFont="1" applyAlignment="1">
      <alignment/>
    </xf>
    <xf numFmtId="170" fontId="0" fillId="0" borderId="0" xfId="17" applyAlignment="1">
      <alignment/>
    </xf>
    <xf numFmtId="170" fontId="5" fillId="0" borderId="0" xfId="17" applyFont="1" applyAlignment="1">
      <alignment/>
    </xf>
    <xf numFmtId="0" fontId="0" fillId="0" borderId="0" xfId="0" applyAlignment="1">
      <alignment horizontal="left" indent="1"/>
    </xf>
    <xf numFmtId="2" fontId="0" fillId="0" borderId="0" xfId="0" applyNumberFormat="1" applyAlignment="1">
      <alignment horizontal="right"/>
    </xf>
    <xf numFmtId="2" fontId="3" fillId="0" borderId="0" xfId="0" applyNumberFormat="1" applyFont="1" applyAlignment="1">
      <alignment horizontal="right"/>
    </xf>
    <xf numFmtId="0" fontId="0" fillId="0" borderId="0" xfId="0" applyFont="1" applyAlignment="1">
      <alignment horizontal="left"/>
    </xf>
    <xf numFmtId="175" fontId="0" fillId="0" borderId="0" xfId="0" applyNumberFormat="1" applyFont="1" applyAlignment="1">
      <alignment horizontal="left"/>
    </xf>
    <xf numFmtId="173" fontId="0" fillId="0" borderId="0" xfId="0" applyNumberFormat="1" applyAlignment="1">
      <alignment horizontal="center"/>
    </xf>
    <xf numFmtId="172" fontId="0" fillId="0" borderId="0" xfId="0" applyNumberFormat="1" applyFont="1" applyAlignment="1">
      <alignment horizontal="left"/>
    </xf>
    <xf numFmtId="0" fontId="11" fillId="0" borderId="0" xfId="0" applyFont="1" applyAlignment="1">
      <alignment/>
    </xf>
    <xf numFmtId="0" fontId="0" fillId="0" borderId="0" xfId="0" applyAlignment="1">
      <alignment horizontal="left" indent="3"/>
    </xf>
    <xf numFmtId="175" fontId="0" fillId="0" borderId="0" xfId="0" applyNumberFormat="1" applyAlignment="1">
      <alignment horizontal="right"/>
    </xf>
    <xf numFmtId="0" fontId="3" fillId="0" borderId="0" xfId="0" applyFont="1" applyAlignment="1" quotePrefix="1">
      <alignment/>
    </xf>
    <xf numFmtId="175" fontId="9" fillId="0" borderId="0" xfId="0" applyNumberFormat="1" applyFont="1" applyAlignment="1">
      <alignment/>
    </xf>
    <xf numFmtId="0" fontId="5" fillId="0" borderId="0" xfId="0" applyFont="1" applyAlignment="1">
      <alignment horizontal="center"/>
    </xf>
    <xf numFmtId="0" fontId="5" fillId="0" borderId="0" xfId="0" applyFont="1" applyAlignment="1">
      <alignment horizontal="right"/>
    </xf>
    <xf numFmtId="43" fontId="0" fillId="0" borderId="0" xfId="0" applyNumberFormat="1" applyAlignment="1">
      <alignment/>
    </xf>
    <xf numFmtId="1" fontId="0" fillId="0" borderId="0" xfId="0" applyNumberFormat="1" applyAlignment="1">
      <alignment horizontal="right"/>
    </xf>
    <xf numFmtId="1" fontId="3"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6"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0" fillId="0" borderId="0" xfId="15" applyNumberFormat="1" applyAlignment="1">
      <alignment/>
    </xf>
    <xf numFmtId="178" fontId="3" fillId="0" borderId="0" xfId="15" applyNumberFormat="1" applyFont="1" applyAlignment="1">
      <alignment/>
    </xf>
    <xf numFmtId="0" fontId="14" fillId="0" borderId="0" xfId="0" applyFont="1" applyAlignment="1">
      <alignment/>
    </xf>
    <xf numFmtId="0" fontId="7" fillId="0" borderId="0" xfId="0" applyFont="1" applyAlignment="1">
      <alignment horizontal="right"/>
    </xf>
    <xf numFmtId="184" fontId="0" fillId="0" borderId="0" xfId="17" applyNumberFormat="1" applyAlignment="1">
      <alignment/>
    </xf>
    <xf numFmtId="189" fontId="0" fillId="0" borderId="0" xfId="0" applyNumberFormat="1" applyAlignment="1">
      <alignment/>
    </xf>
    <xf numFmtId="175" fontId="0" fillId="0" borderId="0" xfId="0" applyNumberFormat="1" applyAlignment="1">
      <alignment horizontal="center"/>
    </xf>
    <xf numFmtId="2" fontId="3" fillId="0" borderId="0" xfId="0" applyNumberFormat="1" applyFont="1" applyAlignment="1">
      <alignment horizontal="center"/>
    </xf>
    <xf numFmtId="43" fontId="3" fillId="0" borderId="0" xfId="0" applyNumberFormat="1" applyFont="1" applyAlignment="1">
      <alignment/>
    </xf>
    <xf numFmtId="0" fontId="0" fillId="0" borderId="0" xfId="0" applyFont="1" applyAlignment="1">
      <alignment horizontal="right"/>
    </xf>
    <xf numFmtId="1" fontId="3" fillId="0" borderId="0" xfId="0" applyNumberFormat="1" applyFont="1" applyAlignment="1">
      <alignment horizontal="right"/>
    </xf>
    <xf numFmtId="2" fontId="0" fillId="0" borderId="0" xfId="0" applyNumberFormat="1" applyFont="1" applyAlignment="1" quotePrefix="1">
      <alignment horizontal="right"/>
    </xf>
    <xf numFmtId="2" fontId="0" fillId="0" borderId="0" xfId="0" applyNumberFormat="1" applyFont="1" applyAlignment="1">
      <alignment horizontal="right"/>
    </xf>
    <xf numFmtId="175" fontId="0" fillId="0" borderId="0" xfId="0" applyNumberFormat="1" applyAlignment="1" quotePrefix="1">
      <alignment horizontal="right"/>
    </xf>
    <xf numFmtId="0" fontId="0" fillId="0" borderId="0" xfId="0" applyAlignment="1" quotePrefix="1">
      <alignment horizontal="right"/>
    </xf>
    <xf numFmtId="174" fontId="9" fillId="0" borderId="0" xfId="0" applyNumberFormat="1" applyFont="1" applyAlignment="1">
      <alignment/>
    </xf>
    <xf numFmtId="1" fontId="7" fillId="0" borderId="0" xfId="0" applyNumberFormat="1" applyFont="1" applyAlignment="1">
      <alignment/>
    </xf>
    <xf numFmtId="0" fontId="6" fillId="0" borderId="0" xfId="0" applyFont="1" applyAlignment="1">
      <alignment horizontal="right"/>
    </xf>
    <xf numFmtId="20" fontId="0" fillId="0" borderId="0" xfId="0" applyNumberFormat="1" applyAlignment="1">
      <alignment/>
    </xf>
    <xf numFmtId="178" fontId="0" fillId="0" borderId="0" xfId="0" applyNumberFormat="1" applyAlignment="1">
      <alignment/>
    </xf>
    <xf numFmtId="0" fontId="5" fillId="0" borderId="0" xfId="0" applyFont="1" applyAlignment="1" quotePrefix="1">
      <alignment/>
    </xf>
    <xf numFmtId="170" fontId="0" fillId="0" borderId="0" xfId="17" applyNumberFormat="1" applyAlignment="1">
      <alignment/>
    </xf>
    <xf numFmtId="175" fontId="15" fillId="0" borderId="0" xfId="0" applyNumberFormat="1" applyFont="1" applyFill="1" applyAlignment="1">
      <alignment/>
    </xf>
    <xf numFmtId="2" fontId="0" fillId="0" borderId="0" xfId="0" applyNumberFormat="1" applyAlignment="1" quotePrefix="1">
      <alignment horizontal="right"/>
    </xf>
    <xf numFmtId="0" fontId="7" fillId="0" borderId="0" xfId="0" applyFont="1" applyAlignment="1" quotePrefix="1">
      <alignment/>
    </xf>
    <xf numFmtId="0" fontId="16" fillId="0" borderId="0" xfId="0" applyFont="1" applyAlignment="1">
      <alignment/>
    </xf>
    <xf numFmtId="2" fontId="17" fillId="0" borderId="0" xfId="0" applyNumberFormat="1" applyFont="1" applyAlignment="1">
      <alignment/>
    </xf>
    <xf numFmtId="183" fontId="10" fillId="0" borderId="0" xfId="17" applyNumberFormat="1" applyFont="1" applyAlignment="1">
      <alignment/>
    </xf>
    <xf numFmtId="0" fontId="16" fillId="0" borderId="0" xfId="0" applyFont="1" applyAlignment="1">
      <alignment horizontal="center"/>
    </xf>
    <xf numFmtId="0" fontId="0" fillId="0" borderId="0" xfId="0" applyAlignment="1" quotePrefix="1">
      <alignment horizontal="left"/>
    </xf>
    <xf numFmtId="178" fontId="3" fillId="0" borderId="0" xfId="15" applyNumberFormat="1" applyFont="1" applyAlignment="1">
      <alignment horizontal="right"/>
    </xf>
    <xf numFmtId="2" fontId="15" fillId="0" borderId="0" xfId="0" applyNumberFormat="1" applyFont="1" applyAlignment="1">
      <alignment/>
    </xf>
    <xf numFmtId="172" fontId="0" fillId="0" borderId="0" xfId="0" applyNumberFormat="1" applyAlignment="1">
      <alignment/>
    </xf>
    <xf numFmtId="175" fontId="7" fillId="0" borderId="0" xfId="0" applyNumberFormat="1" applyFont="1" applyAlignment="1">
      <alignment horizontal="right"/>
    </xf>
    <xf numFmtId="0" fontId="12" fillId="0" borderId="0" xfId="0" applyFont="1" applyAlignment="1">
      <alignment horizontal="right"/>
    </xf>
    <xf numFmtId="1" fontId="7" fillId="0" borderId="0" xfId="0" applyNumberFormat="1" applyFont="1" applyAlignment="1">
      <alignment horizontal="center"/>
    </xf>
    <xf numFmtId="0" fontId="19" fillId="0" borderId="0" xfId="0" applyFont="1" applyAlignment="1">
      <alignment/>
    </xf>
    <xf numFmtId="0" fontId="9" fillId="0" borderId="0" xfId="0" applyFont="1" applyAlignment="1">
      <alignment horizontal="center"/>
    </xf>
    <xf numFmtId="175" fontId="0" fillId="0" borderId="0" xfId="0" applyNumberFormat="1" applyFont="1" applyAlignment="1">
      <alignment horizontal="right"/>
    </xf>
    <xf numFmtId="0" fontId="20" fillId="0" borderId="0" xfId="0" applyFont="1" applyAlignment="1">
      <alignment/>
    </xf>
    <xf numFmtId="0" fontId="11" fillId="0" borderId="0" xfId="0" applyFont="1" applyAlignment="1">
      <alignment horizontal="right"/>
    </xf>
    <xf numFmtId="2" fontId="7" fillId="0" borderId="0" xfId="0" applyNumberFormat="1" applyFont="1" applyAlignment="1">
      <alignment horizontal="right"/>
    </xf>
    <xf numFmtId="0" fontId="9" fillId="0" borderId="0" xfId="0" applyFont="1" applyAlignment="1">
      <alignment horizontal="left"/>
    </xf>
    <xf numFmtId="1" fontId="0" fillId="0" borderId="0" xfId="0" applyNumberFormat="1" applyFont="1" applyAlignment="1">
      <alignment horizontal="right"/>
    </xf>
    <xf numFmtId="188" fontId="0" fillId="0" borderId="0" xfId="0" applyNumberFormat="1" applyAlignment="1">
      <alignment/>
    </xf>
    <xf numFmtId="0" fontId="8"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09"/>
  <sheetViews>
    <sheetView tabSelected="1" view="pageBreakPreview" zoomScale="85" zoomScaleNormal="75" zoomScaleSheetLayoutView="85" workbookViewId="0" topLeftCell="A1">
      <selection activeCell="A2" sqref="A2"/>
    </sheetView>
  </sheetViews>
  <sheetFormatPr defaultColWidth="9.140625" defaultRowHeight="12.75"/>
  <cols>
    <col min="1" max="1" width="23.57421875" style="0" customWidth="1"/>
    <col min="2" max="13" width="10.7109375" style="0" customWidth="1"/>
    <col min="14" max="14" width="18.140625" style="0" bestFit="1" customWidth="1"/>
    <col min="15" max="15" width="13.7109375" style="0" bestFit="1" customWidth="1"/>
    <col min="17" max="17" width="12.421875" style="0" customWidth="1"/>
    <col min="18" max="18" width="12.7109375" style="0" bestFit="1" customWidth="1"/>
    <col min="19" max="19" width="7.8515625" style="0" customWidth="1"/>
  </cols>
  <sheetData>
    <row r="1" spans="1:16" ht="15.75">
      <c r="A1" s="9"/>
      <c r="B1" s="17" t="s">
        <v>323</v>
      </c>
      <c r="P1" s="1" t="s">
        <v>149</v>
      </c>
    </row>
    <row r="2" spans="1:16" ht="12.75">
      <c r="A2" s="1"/>
      <c r="E2" s="1"/>
      <c r="N2" s="1"/>
      <c r="P2" s="1" t="s">
        <v>278</v>
      </c>
    </row>
    <row r="3" spans="1:15" ht="12.75">
      <c r="A3" s="1" t="s">
        <v>330</v>
      </c>
      <c r="E3" s="1"/>
      <c r="N3" s="1"/>
      <c r="O3" s="1"/>
    </row>
    <row r="4" spans="1:15" ht="12.75">
      <c r="A4" s="1"/>
      <c r="E4" s="1"/>
      <c r="N4" s="1"/>
      <c r="O4" s="1"/>
    </row>
    <row r="5" spans="1:15" ht="12.75">
      <c r="A5" s="1"/>
      <c r="B5" s="1" t="s">
        <v>419</v>
      </c>
      <c r="E5" s="1"/>
      <c r="N5" s="1"/>
      <c r="O5" s="1"/>
    </row>
    <row r="6" spans="1:15" ht="12.75">
      <c r="A6" s="1"/>
      <c r="B6" s="1" t="s">
        <v>34</v>
      </c>
      <c r="E6" s="1"/>
      <c r="N6" s="1"/>
      <c r="O6" s="1"/>
    </row>
    <row r="7" spans="1:15" ht="12.75">
      <c r="A7" s="1"/>
      <c r="B7" s="1" t="s">
        <v>465</v>
      </c>
      <c r="E7" s="1"/>
      <c r="N7" s="1"/>
      <c r="O7" s="1"/>
    </row>
    <row r="8" spans="1:15" ht="12.75">
      <c r="A8" s="1"/>
      <c r="B8" s="1"/>
      <c r="E8" s="1"/>
      <c r="N8" s="1"/>
      <c r="O8" s="1"/>
    </row>
    <row r="9" spans="2:15" ht="12.75">
      <c r="B9" s="1" t="s">
        <v>589</v>
      </c>
      <c r="E9" s="1"/>
      <c r="N9" s="1"/>
      <c r="O9" s="1"/>
    </row>
    <row r="10" spans="2:15" ht="12.75">
      <c r="B10" s="1" t="s">
        <v>481</v>
      </c>
      <c r="E10" s="1"/>
      <c r="N10" s="1"/>
      <c r="O10" s="1"/>
    </row>
    <row r="11" spans="1:15" ht="12.75">
      <c r="A11" s="1"/>
      <c r="B11" s="1" t="s">
        <v>713</v>
      </c>
      <c r="H11" s="1"/>
      <c r="L11" s="1"/>
      <c r="N11" s="1"/>
      <c r="O11" s="1"/>
    </row>
    <row r="12" spans="1:15" ht="12.75">
      <c r="A12" s="1"/>
      <c r="B12" s="1" t="s">
        <v>425</v>
      </c>
      <c r="H12" s="1"/>
      <c r="L12" s="1"/>
      <c r="N12" s="1"/>
      <c r="O12" s="1"/>
    </row>
    <row r="13" spans="1:15" ht="12.75">
      <c r="A13" s="1"/>
      <c r="C13" s="1"/>
      <c r="H13" s="1"/>
      <c r="I13" s="1"/>
      <c r="L13" s="1"/>
      <c r="N13" s="1"/>
      <c r="O13" s="1"/>
    </row>
    <row r="14" spans="1:15" ht="12.75">
      <c r="A14" s="1"/>
      <c r="B14" s="1" t="s">
        <v>647</v>
      </c>
      <c r="E14" s="1"/>
      <c r="H14" s="1"/>
      <c r="L14" s="1"/>
      <c r="N14" s="1"/>
      <c r="O14" s="1"/>
    </row>
    <row r="15" spans="1:15" ht="12.75">
      <c r="A15" s="1"/>
      <c r="C15" s="1" t="s">
        <v>385</v>
      </c>
      <c r="E15" s="1"/>
      <c r="H15" s="1"/>
      <c r="L15" s="1"/>
      <c r="N15" s="1"/>
      <c r="O15" s="1"/>
    </row>
    <row r="16" spans="1:15" ht="12.75">
      <c r="A16" s="1"/>
      <c r="C16" s="1" t="s">
        <v>160</v>
      </c>
      <c r="H16" s="1"/>
      <c r="L16" s="1"/>
      <c r="N16" s="1"/>
      <c r="O16" s="1"/>
    </row>
    <row r="17" spans="1:15" ht="12.75">
      <c r="A17" s="1"/>
      <c r="C17" s="1" t="s">
        <v>447</v>
      </c>
      <c r="H17" s="1"/>
      <c r="L17" s="1"/>
      <c r="N17" s="1"/>
      <c r="O17" s="1"/>
    </row>
    <row r="18" spans="1:15" ht="12.75">
      <c r="A18" s="1"/>
      <c r="C18" s="1" t="s">
        <v>390</v>
      </c>
      <c r="H18" s="1"/>
      <c r="L18" s="1"/>
      <c r="N18" s="1"/>
      <c r="O18" s="1"/>
    </row>
    <row r="19" spans="1:15" ht="12.75">
      <c r="A19" s="1"/>
      <c r="C19" s="1"/>
      <c r="H19" s="1"/>
      <c r="L19" s="1"/>
      <c r="N19" s="1"/>
      <c r="O19" s="1"/>
    </row>
    <row r="20" spans="1:15" ht="12.75">
      <c r="A20" s="1"/>
      <c r="B20" s="1" t="s">
        <v>438</v>
      </c>
      <c r="C20" s="1"/>
      <c r="H20" s="1"/>
      <c r="L20" s="1"/>
      <c r="N20" s="1"/>
      <c r="O20" s="1"/>
    </row>
    <row r="21" spans="1:15" ht="12.75">
      <c r="A21" s="1"/>
      <c r="B21" s="1"/>
      <c r="C21" s="1"/>
      <c r="H21" s="1"/>
      <c r="L21" s="1"/>
      <c r="N21" s="1"/>
      <c r="O21" s="1"/>
    </row>
    <row r="22" spans="1:15" ht="13.5" customHeight="1">
      <c r="A22" s="1"/>
      <c r="E22" s="1"/>
      <c r="H22" s="14" t="s">
        <v>641</v>
      </c>
      <c r="L22" s="14" t="s">
        <v>233</v>
      </c>
      <c r="N22" s="1"/>
      <c r="O22" s="1"/>
    </row>
    <row r="23" spans="1:17" ht="12.75">
      <c r="A23" s="1"/>
      <c r="B23" s="1" t="s">
        <v>712</v>
      </c>
      <c r="E23" s="1"/>
      <c r="L23" s="27">
        <f>O112/1000</f>
        <v>20.929901209944173</v>
      </c>
      <c r="M23" t="s">
        <v>386</v>
      </c>
      <c r="N23" s="27">
        <f>L23*1000/3413</f>
        <v>6.132405862860876</v>
      </c>
      <c r="O23" s="58" t="s">
        <v>394</v>
      </c>
      <c r="P23" s="24">
        <f>N23*1000/O92</f>
        <v>27.08078140032471</v>
      </c>
      <c r="Q23" s="58" t="s">
        <v>393</v>
      </c>
    </row>
    <row r="24" spans="1:15" ht="12.75">
      <c r="A24" s="1"/>
      <c r="B24" s="1" t="s">
        <v>649</v>
      </c>
      <c r="E24" s="1"/>
      <c r="H24" s="27">
        <f>N200</f>
        <v>59.82991872992972</v>
      </c>
      <c r="I24" t="s">
        <v>639</v>
      </c>
      <c r="N24" s="1"/>
      <c r="O24" s="1"/>
    </row>
    <row r="25" spans="1:15" ht="12.75">
      <c r="A25" s="1"/>
      <c r="B25" s="1" t="s">
        <v>650</v>
      </c>
      <c r="E25" s="1"/>
      <c r="I25" s="1"/>
      <c r="L25" s="1" t="s">
        <v>645</v>
      </c>
      <c r="N25" s="1"/>
      <c r="O25" s="1"/>
    </row>
    <row r="26" spans="1:16" ht="12" customHeight="1">
      <c r="A26" s="1"/>
      <c r="C26" s="1" t="s">
        <v>131</v>
      </c>
      <c r="E26" s="1"/>
      <c r="H26" s="27">
        <f>N165</f>
        <v>29.496008641315793</v>
      </c>
      <c r="I26" t="s">
        <v>639</v>
      </c>
      <c r="J26" s="23">
        <f>H26*100/H24</f>
        <v>49.2997638430027</v>
      </c>
      <c r="K26" t="s">
        <v>607</v>
      </c>
      <c r="L26" s="15">
        <v>7.2</v>
      </c>
      <c r="M26" t="s">
        <v>305</v>
      </c>
      <c r="O26" s="28">
        <f>H26*1000/190/24</f>
        <v>6.468422947656972</v>
      </c>
      <c r="P26" s="4" t="s">
        <v>687</v>
      </c>
    </row>
    <row r="27" spans="1:16" ht="12" customHeight="1">
      <c r="A27" s="1"/>
      <c r="C27" s="1" t="s">
        <v>757</v>
      </c>
      <c r="E27" s="1"/>
      <c r="H27" s="30">
        <f>N166+N167+N168+N169</f>
        <v>19.105622799681537</v>
      </c>
      <c r="I27" t="s">
        <v>639</v>
      </c>
      <c r="J27" s="31">
        <f>H27*100/H24</f>
        <v>31.933225391670156</v>
      </c>
      <c r="K27" t="s">
        <v>607</v>
      </c>
      <c r="L27" s="1">
        <v>4.8</v>
      </c>
      <c r="M27" t="s">
        <v>305</v>
      </c>
      <c r="O27" s="28">
        <f>H27*1000/190/24</f>
        <v>4.18982956133367</v>
      </c>
      <c r="P27" s="4" t="s">
        <v>687</v>
      </c>
    </row>
    <row r="28" spans="1:15" ht="12" customHeight="1">
      <c r="A28" s="1"/>
      <c r="C28" s="1"/>
      <c r="D28" s="1" t="s">
        <v>778</v>
      </c>
      <c r="H28" s="27">
        <f>N201</f>
        <v>48.60163144099733</v>
      </c>
      <c r="I28" t="s">
        <v>639</v>
      </c>
      <c r="J28" s="28">
        <f>O201</f>
        <v>81.23298923467286</v>
      </c>
      <c r="K28" t="s">
        <v>607</v>
      </c>
      <c r="L28" s="1"/>
      <c r="N28" s="1"/>
      <c r="O28" s="1"/>
    </row>
    <row r="29" spans="1:15" ht="12" customHeight="1">
      <c r="A29" s="1"/>
      <c r="C29" s="1"/>
      <c r="E29" s="1"/>
      <c r="H29" s="1"/>
      <c r="L29" s="1"/>
      <c r="N29" s="1"/>
      <c r="O29" s="1"/>
    </row>
    <row r="30" spans="1:15" ht="12" customHeight="1">
      <c r="A30" s="1"/>
      <c r="C30" s="1" t="s">
        <v>643</v>
      </c>
      <c r="E30" s="1"/>
      <c r="H30" s="27">
        <f>N202*0.95</f>
        <v>10.66687292448578</v>
      </c>
      <c r="I30" t="s">
        <v>639</v>
      </c>
      <c r="J30" s="23">
        <f>H30/H24*100</f>
        <v>17.8286602270608</v>
      </c>
      <c r="K30" t="s">
        <v>607</v>
      </c>
      <c r="L30" s="1">
        <v>24</v>
      </c>
      <c r="M30" t="s">
        <v>642</v>
      </c>
      <c r="N30" s="1"/>
      <c r="O30" s="1"/>
    </row>
    <row r="31" spans="1:15" ht="12" customHeight="1">
      <c r="A31" s="1"/>
      <c r="C31" s="1" t="s">
        <v>644</v>
      </c>
      <c r="E31" s="1"/>
      <c r="H31" s="27">
        <f>N202*0.04</f>
        <v>0.449131491557296</v>
      </c>
      <c r="I31" t="s">
        <v>640</v>
      </c>
      <c r="J31" s="23">
        <f>H31/H24*100</f>
        <v>0.7506804306130863</v>
      </c>
      <c r="K31" t="s">
        <v>607</v>
      </c>
      <c r="L31" s="1">
        <v>33</v>
      </c>
      <c r="M31" t="s">
        <v>642</v>
      </c>
      <c r="N31" s="1"/>
      <c r="O31" s="1"/>
    </row>
    <row r="32" spans="1:15" ht="12" customHeight="1">
      <c r="A32" s="1"/>
      <c r="C32" s="1" t="s">
        <v>448</v>
      </c>
      <c r="E32" s="1"/>
      <c r="H32" s="30">
        <f>N202*0.01</f>
        <v>0.112282872889324</v>
      </c>
      <c r="I32" t="s">
        <v>639</v>
      </c>
      <c r="J32" s="31">
        <f>H32/H24*100</f>
        <v>0.18767010765327158</v>
      </c>
      <c r="K32" t="s">
        <v>607</v>
      </c>
      <c r="L32" s="14">
        <v>14</v>
      </c>
      <c r="M32" t="s">
        <v>642</v>
      </c>
      <c r="N32" s="1"/>
      <c r="O32" s="1"/>
    </row>
    <row r="33" spans="1:15" ht="12.75">
      <c r="A33" s="1"/>
      <c r="D33" s="1" t="s">
        <v>442</v>
      </c>
      <c r="H33" s="27">
        <f>N202</f>
        <v>11.2282872889324</v>
      </c>
      <c r="I33" s="1" t="s">
        <v>639</v>
      </c>
      <c r="J33" s="28">
        <f>H33/H24*100</f>
        <v>18.767010765327154</v>
      </c>
      <c r="K33" t="s">
        <v>607</v>
      </c>
      <c r="L33" s="1">
        <f>SUM(L26:L32)</f>
        <v>83</v>
      </c>
      <c r="M33" t="s">
        <v>642</v>
      </c>
      <c r="N33" s="1" t="s">
        <v>786</v>
      </c>
      <c r="O33" s="71"/>
    </row>
    <row r="34" spans="1:15" ht="12.75">
      <c r="A34" s="1"/>
      <c r="E34" s="1"/>
      <c r="H34" s="26">
        <f>H33*1000/B70</f>
        <v>4.480623788763068</v>
      </c>
      <c r="I34" t="s">
        <v>209</v>
      </c>
      <c r="L34" s="1"/>
      <c r="N34" s="1"/>
      <c r="O34" s="1"/>
    </row>
    <row r="35" spans="1:15" ht="12.75">
      <c r="A35" s="71"/>
      <c r="B35" s="54"/>
      <c r="E35" s="1"/>
      <c r="F35" s="54"/>
      <c r="H35" s="27">
        <f>H33*1000000/N178/B70</f>
        <v>0.6264591514286408</v>
      </c>
      <c r="I35" t="s">
        <v>777</v>
      </c>
      <c r="L35" s="1"/>
      <c r="N35" s="1"/>
      <c r="O35" s="1"/>
    </row>
    <row r="36" spans="1:15" ht="12.75">
      <c r="A36" s="71"/>
      <c r="C36" s="1"/>
      <c r="E36" s="1"/>
      <c r="G36" s="54"/>
      <c r="H36" s="36">
        <f>H33*1000000/O92/3413</f>
        <v>14.528056798813433</v>
      </c>
      <c r="I36" s="1" t="s">
        <v>376</v>
      </c>
      <c r="L36" s="1"/>
      <c r="N36" s="1"/>
      <c r="O36" s="1"/>
    </row>
    <row r="37" spans="1:15" ht="12.75">
      <c r="A37" s="1"/>
      <c r="B37" s="1" t="s">
        <v>454</v>
      </c>
      <c r="E37" s="1"/>
      <c r="H37" s="36"/>
      <c r="L37" s="1"/>
      <c r="N37" s="1" t="s">
        <v>380</v>
      </c>
      <c r="O37" s="1"/>
    </row>
    <row r="38" spans="1:15" ht="12.75">
      <c r="A38" s="1"/>
      <c r="C38" s="1" t="s">
        <v>646</v>
      </c>
      <c r="E38" s="1"/>
      <c r="H38" s="64">
        <f>24*O112/(D90-(B69))</f>
        <v>6648.810443926673</v>
      </c>
      <c r="I38" s="4" t="s">
        <v>700</v>
      </c>
      <c r="N38" s="93">
        <f>N202*1000000/N178</f>
        <v>1569.8848327017042</v>
      </c>
      <c r="O38" t="s">
        <v>554</v>
      </c>
    </row>
    <row r="39" spans="1:15" ht="12.75">
      <c r="A39" s="1"/>
      <c r="C39" s="1" t="s">
        <v>136</v>
      </c>
      <c r="E39" s="1"/>
      <c r="H39" s="28">
        <f>24*O112/B70</f>
        <v>200.44876482668636</v>
      </c>
      <c r="I39" s="4" t="s">
        <v>701</v>
      </c>
      <c r="N39" s="27">
        <f>N202*1000000/190/B70</f>
        <v>23.582230467174043</v>
      </c>
      <c r="O39" t="s">
        <v>555</v>
      </c>
    </row>
    <row r="40" spans="1:9" ht="12.75">
      <c r="A40" s="1"/>
      <c r="C40" s="1" t="s">
        <v>137</v>
      </c>
      <c r="E40" s="1"/>
      <c r="H40" s="27">
        <f>H38/B70</f>
        <v>2.653193445753625</v>
      </c>
      <c r="I40" s="4" t="s">
        <v>709</v>
      </c>
    </row>
    <row r="41" spans="1:15" ht="12.75">
      <c r="A41" s="1"/>
      <c r="C41" s="1" t="s">
        <v>551</v>
      </c>
      <c r="E41" s="1"/>
      <c r="H41" s="27">
        <f>N200*1000000/N178/B70</f>
        <v>3.3380870254843704</v>
      </c>
      <c r="I41" s="4" t="s">
        <v>553</v>
      </c>
      <c r="L41" s="27"/>
      <c r="N41" s="27">
        <f>N38/B70</f>
        <v>0.6264591514286408</v>
      </c>
      <c r="O41" t="s">
        <v>552</v>
      </c>
    </row>
    <row r="42" spans="1:15" ht="15.75">
      <c r="A42" s="1"/>
      <c r="C42" s="1" t="s">
        <v>441</v>
      </c>
      <c r="E42" s="1"/>
      <c r="H42" s="90">
        <f>O214</f>
        <v>212.81373203822938</v>
      </c>
      <c r="I42" s="4" t="s">
        <v>135</v>
      </c>
      <c r="N42" s="35">
        <f>H42/B70</f>
        <v>0.08492286007731846</v>
      </c>
      <c r="O42" t="s">
        <v>648</v>
      </c>
    </row>
    <row r="43" spans="1:15" ht="12.75">
      <c r="A43" s="1"/>
      <c r="C43" s="1" t="s">
        <v>333</v>
      </c>
      <c r="E43" s="1"/>
      <c r="H43" s="25">
        <f>N206</f>
        <v>2326.849658641194</v>
      </c>
      <c r="I43" s="4" t="s">
        <v>132</v>
      </c>
      <c r="J43" s="70">
        <f>H43/(22000000/6300)</f>
        <v>0.6663251295199782</v>
      </c>
      <c r="K43" t="s">
        <v>350</v>
      </c>
      <c r="L43" s="1"/>
      <c r="N43" s="1"/>
      <c r="O43" s="1"/>
    </row>
    <row r="44" spans="1:15" ht="12.75">
      <c r="A44" s="1"/>
      <c r="C44" s="1"/>
      <c r="E44" s="1"/>
      <c r="H44" s="1"/>
      <c r="I44" s="4"/>
      <c r="L44" s="1"/>
      <c r="N44" s="1"/>
      <c r="O44" s="1"/>
    </row>
    <row r="45" spans="1:15" ht="12.75">
      <c r="A45" s="1"/>
      <c r="B45" s="1" t="s">
        <v>708</v>
      </c>
      <c r="C45" s="1"/>
      <c r="E45" s="1"/>
      <c r="H45" s="1"/>
      <c r="I45" s="4"/>
      <c r="L45" s="1"/>
      <c r="N45" s="1"/>
      <c r="O45" s="1"/>
    </row>
    <row r="46" spans="1:15" ht="12.75">
      <c r="A46" s="1"/>
      <c r="C46" s="1" t="s">
        <v>389</v>
      </c>
      <c r="E46" s="1"/>
      <c r="H46" s="1"/>
      <c r="I46" s="4"/>
      <c r="L46" s="1"/>
      <c r="N46" s="1"/>
      <c r="O46" s="1"/>
    </row>
    <row r="47" spans="1:15" ht="12.75">
      <c r="A47" s="1"/>
      <c r="C47" s="1" t="s">
        <v>72</v>
      </c>
      <c r="E47" s="1"/>
      <c r="H47" s="1"/>
      <c r="I47" s="4"/>
      <c r="L47" s="1"/>
      <c r="N47" s="1"/>
      <c r="O47" s="1"/>
    </row>
    <row r="48" spans="1:15" ht="12.75">
      <c r="A48" s="1"/>
      <c r="C48" s="1" t="s">
        <v>698</v>
      </c>
      <c r="E48" s="1"/>
      <c r="H48" s="1"/>
      <c r="I48" s="4"/>
      <c r="L48" s="1"/>
      <c r="N48" s="1"/>
      <c r="O48" s="1"/>
    </row>
    <row r="49" spans="1:15" ht="12.75">
      <c r="A49" s="1"/>
      <c r="C49" s="1" t="s">
        <v>534</v>
      </c>
      <c r="E49" s="1"/>
      <c r="H49" s="1"/>
      <c r="I49" s="4"/>
      <c r="L49" s="1"/>
      <c r="N49" s="1"/>
      <c r="O49" s="1"/>
    </row>
    <row r="50" spans="1:15" ht="12.75">
      <c r="A50" s="1"/>
      <c r="C50" s="1"/>
      <c r="E50" s="1"/>
      <c r="H50" s="1"/>
      <c r="I50" s="4"/>
      <c r="L50" s="1"/>
      <c r="N50" s="1"/>
      <c r="O50" s="1"/>
    </row>
    <row r="51" spans="1:2" ht="12.75">
      <c r="A51" s="1"/>
      <c r="B51" s="1" t="s">
        <v>719</v>
      </c>
    </row>
    <row r="52" spans="1:3" ht="12.75">
      <c r="A52" s="1"/>
      <c r="C52" s="1" t="s">
        <v>161</v>
      </c>
    </row>
    <row r="53" spans="1:3" ht="12.75">
      <c r="A53" s="1"/>
      <c r="C53" s="1" t="s">
        <v>345</v>
      </c>
    </row>
    <row r="54" ht="12.75">
      <c r="A54" s="1"/>
    </row>
    <row r="55" spans="1:15" ht="12.75">
      <c r="A55" s="1"/>
      <c r="B55" s="1" t="s">
        <v>718</v>
      </c>
      <c r="C55" s="1"/>
      <c r="E55" s="1"/>
      <c r="H55" s="1"/>
      <c r="I55" s="4"/>
      <c r="L55" s="1"/>
      <c r="N55" s="1"/>
      <c r="O55" s="1"/>
    </row>
    <row r="56" spans="1:15" ht="12.75">
      <c r="A56" s="1"/>
      <c r="C56" s="1" t="s">
        <v>264</v>
      </c>
      <c r="E56" s="1"/>
      <c r="H56" s="1"/>
      <c r="I56" s="4"/>
      <c r="L56" s="1"/>
      <c r="N56" s="1"/>
      <c r="O56" s="1"/>
    </row>
    <row r="57" spans="1:3" ht="12.75">
      <c r="A57" s="1"/>
      <c r="C57" s="1" t="s">
        <v>391</v>
      </c>
    </row>
    <row r="58" spans="1:15" ht="12.75">
      <c r="A58" s="1"/>
      <c r="C58" s="1" t="s">
        <v>265</v>
      </c>
      <c r="E58" s="1"/>
      <c r="H58" s="1"/>
      <c r="I58" s="4"/>
      <c r="L58" s="1"/>
      <c r="N58" s="1"/>
      <c r="O58" s="1"/>
    </row>
    <row r="59" spans="1:15" ht="12.75">
      <c r="A59" s="1"/>
      <c r="C59" s="1" t="s">
        <v>392</v>
      </c>
      <c r="E59" s="1"/>
      <c r="H59" s="1"/>
      <c r="I59" s="4"/>
      <c r="L59" s="1"/>
      <c r="N59" s="1"/>
      <c r="O59" s="1"/>
    </row>
    <row r="60" spans="1:15" ht="12.75">
      <c r="A60" s="1"/>
      <c r="C60" s="1" t="s">
        <v>307</v>
      </c>
      <c r="E60" s="1"/>
      <c r="H60" s="1"/>
      <c r="I60" s="4"/>
      <c r="L60" s="1"/>
      <c r="N60" s="1"/>
      <c r="O60" s="1"/>
    </row>
    <row r="61" spans="1:15" ht="12.75">
      <c r="A61" s="1"/>
      <c r="C61" s="1" t="s">
        <v>308</v>
      </c>
      <c r="E61" s="1"/>
      <c r="H61" s="1"/>
      <c r="I61" s="4"/>
      <c r="L61" s="1"/>
      <c r="N61" s="1"/>
      <c r="O61" s="1"/>
    </row>
    <row r="62" spans="1:15" ht="12.75">
      <c r="A62" s="1"/>
      <c r="C62" s="1" t="s">
        <v>163</v>
      </c>
      <c r="E62" s="1"/>
      <c r="H62" s="1"/>
      <c r="I62" s="4"/>
      <c r="L62" s="1"/>
      <c r="N62" s="1"/>
      <c r="O62" s="1"/>
    </row>
    <row r="63" spans="1:3" ht="12.75">
      <c r="A63" s="1"/>
      <c r="C63" s="1" t="s">
        <v>537</v>
      </c>
    </row>
    <row r="64" spans="1:12" ht="12.75">
      <c r="A64" s="1" t="s">
        <v>297</v>
      </c>
      <c r="B64" t="s">
        <v>381</v>
      </c>
      <c r="E64" s="1"/>
      <c r="I64" s="1"/>
      <c r="L64" s="3"/>
    </row>
    <row r="65" spans="5:11" ht="12.75">
      <c r="E65" s="1"/>
      <c r="J65" s="1"/>
      <c r="K65" s="1"/>
    </row>
    <row r="66" spans="1:11" ht="12.75">
      <c r="A66" s="4" t="s">
        <v>449</v>
      </c>
      <c r="E66" s="1"/>
      <c r="K66" s="1"/>
    </row>
    <row r="67" spans="1:18" ht="12.75">
      <c r="A67" s="4" t="s">
        <v>478</v>
      </c>
      <c r="E67" s="1"/>
      <c r="O67" s="13" t="s">
        <v>250</v>
      </c>
      <c r="Q67" s="23">
        <v>3.5</v>
      </c>
      <c r="R67" t="s">
        <v>48</v>
      </c>
    </row>
    <row r="68" spans="1:18" ht="12.75">
      <c r="A68" s="4"/>
      <c r="E68" s="1"/>
      <c r="F68" s="4"/>
      <c r="G68" s="1"/>
      <c r="J68" s="1"/>
      <c r="K68" s="4"/>
      <c r="L68" s="1"/>
      <c r="N68" s="4" t="s">
        <v>213</v>
      </c>
      <c r="Q68" s="23">
        <f>70-Q67</f>
        <v>66.5</v>
      </c>
      <c r="R68" t="str">
        <f>R67</f>
        <v>deg F</v>
      </c>
    </row>
    <row r="69" spans="1:14" ht="12.75">
      <c r="A69" t="s">
        <v>705</v>
      </c>
      <c r="B69">
        <v>-5.8</v>
      </c>
      <c r="C69" t="s">
        <v>479</v>
      </c>
      <c r="I69" t="s">
        <v>496</v>
      </c>
      <c r="J69" s="21">
        <f>E427*2</f>
        <v>0.03021607311281773</v>
      </c>
      <c r="K69" s="65" t="s">
        <v>683</v>
      </c>
      <c r="N69" s="47" t="s">
        <v>358</v>
      </c>
    </row>
    <row r="70" spans="1:14" ht="12.75">
      <c r="A70" t="s">
        <v>704</v>
      </c>
      <c r="B70" s="23">
        <f>O91</f>
        <v>2505.9652</v>
      </c>
      <c r="C70" t="s">
        <v>306</v>
      </c>
      <c r="D70" t="s">
        <v>497</v>
      </c>
      <c r="F70">
        <v>0.76</v>
      </c>
      <c r="G70" t="s">
        <v>285</v>
      </c>
      <c r="I70" t="s">
        <v>498</v>
      </c>
      <c r="J70" s="21">
        <f>(0.3*(B70-N91)/3.28/3.28*2.5)/((O96-N96)/3.28/3.28/3.28)</f>
        <v>0.24569080890284695</v>
      </c>
      <c r="K70" s="60" t="s">
        <v>344</v>
      </c>
      <c r="N70" t="s">
        <v>289</v>
      </c>
    </row>
    <row r="71" spans="14:18" ht="12.75">
      <c r="N71" t="s">
        <v>288</v>
      </c>
      <c r="R71" s="19">
        <v>57</v>
      </c>
    </row>
    <row r="72" spans="1:18" ht="12.75">
      <c r="A72" s="4" t="s">
        <v>387</v>
      </c>
      <c r="B72" s="4">
        <v>40</v>
      </c>
      <c r="C72" s="11"/>
      <c r="D72" s="60" t="s">
        <v>290</v>
      </c>
      <c r="E72" s="4">
        <v>60.5</v>
      </c>
      <c r="F72">
        <v>50.5</v>
      </c>
      <c r="G72" s="58" t="s">
        <v>291</v>
      </c>
      <c r="H72" t="s">
        <v>545</v>
      </c>
      <c r="I72" s="4">
        <v>22</v>
      </c>
      <c r="K72" t="s">
        <v>547</v>
      </c>
      <c r="M72">
        <v>3.5</v>
      </c>
      <c r="N72" t="s">
        <v>480</v>
      </c>
      <c r="R72" s="19">
        <v>55.4</v>
      </c>
    </row>
    <row r="73" spans="1:16" ht="12.75">
      <c r="A73" t="s">
        <v>595</v>
      </c>
      <c r="D73" t="s">
        <v>572</v>
      </c>
      <c r="E73">
        <v>22</v>
      </c>
      <c r="F73" t="s">
        <v>573</v>
      </c>
      <c r="H73" t="s">
        <v>59</v>
      </c>
      <c r="M73">
        <v>10.7636</v>
      </c>
      <c r="N73" t="s">
        <v>549</v>
      </c>
      <c r="O73">
        <v>3413</v>
      </c>
      <c r="P73" t="s">
        <v>439</v>
      </c>
    </row>
    <row r="74" ht="12.75">
      <c r="A74" s="14" t="s">
        <v>60</v>
      </c>
    </row>
    <row r="75" spans="1:15" ht="12.75">
      <c r="A75" t="s">
        <v>570</v>
      </c>
      <c r="B75" s="1" t="s">
        <v>583</v>
      </c>
      <c r="C75" s="1" t="s">
        <v>635</v>
      </c>
      <c r="D75" s="1" t="s">
        <v>596</v>
      </c>
      <c r="E75" s="1" t="s">
        <v>542</v>
      </c>
      <c r="F75" s="1" t="s">
        <v>73</v>
      </c>
      <c r="G75" s="29" t="s">
        <v>56</v>
      </c>
      <c r="H75" s="1" t="s">
        <v>608</v>
      </c>
      <c r="I75" s="12" t="s">
        <v>603</v>
      </c>
      <c r="J75" s="1" t="s">
        <v>632</v>
      </c>
      <c r="K75" s="61" t="s">
        <v>599</v>
      </c>
      <c r="L75" s="1" t="s">
        <v>601</v>
      </c>
      <c r="M75" t="s">
        <v>543</v>
      </c>
      <c r="N75" s="12" t="s">
        <v>720</v>
      </c>
      <c r="O75" s="1" t="s">
        <v>544</v>
      </c>
    </row>
    <row r="76" spans="1:15" ht="12.75">
      <c r="A76" t="s">
        <v>571</v>
      </c>
      <c r="B76" t="s">
        <v>604</v>
      </c>
      <c r="C76" t="s">
        <v>605</v>
      </c>
      <c r="D76" t="s">
        <v>602</v>
      </c>
      <c r="E76" t="s">
        <v>605</v>
      </c>
      <c r="F76" s="18" t="s">
        <v>581</v>
      </c>
      <c r="G76" t="s">
        <v>581</v>
      </c>
      <c r="H76" t="s">
        <v>609</v>
      </c>
      <c r="I76" t="s">
        <v>609</v>
      </c>
      <c r="J76" t="s">
        <v>604</v>
      </c>
      <c r="K76" s="18" t="s">
        <v>714</v>
      </c>
      <c r="L76" s="18" t="s">
        <v>714</v>
      </c>
      <c r="N76" s="18" t="s">
        <v>721</v>
      </c>
      <c r="O76" s="40" t="s">
        <v>58</v>
      </c>
    </row>
    <row r="77" spans="1:14" ht="12.75">
      <c r="A77" t="s">
        <v>484</v>
      </c>
      <c r="B77">
        <v>10.33</v>
      </c>
      <c r="C77">
        <v>10.21</v>
      </c>
      <c r="D77">
        <v>10.29</v>
      </c>
      <c r="E77">
        <v>10.23</v>
      </c>
      <c r="F77">
        <v>9.17</v>
      </c>
      <c r="G77">
        <v>9.17</v>
      </c>
      <c r="H77">
        <v>10.33</v>
      </c>
      <c r="I77">
        <v>10.27</v>
      </c>
      <c r="J77">
        <v>9.17</v>
      </c>
      <c r="K77">
        <v>9.25</v>
      </c>
      <c r="L77">
        <v>8.47</v>
      </c>
      <c r="N77">
        <v>12.68</v>
      </c>
    </row>
    <row r="78" spans="1:14" ht="12.75">
      <c r="A78" t="s">
        <v>485</v>
      </c>
      <c r="B78">
        <v>16.21</v>
      </c>
      <c r="C78">
        <v>16.21</v>
      </c>
      <c r="D78">
        <v>22.67</v>
      </c>
      <c r="E78">
        <v>33.83</v>
      </c>
      <c r="F78">
        <v>16.42</v>
      </c>
      <c r="G78">
        <v>9.58</v>
      </c>
      <c r="H78">
        <v>10.42</v>
      </c>
      <c r="I78">
        <v>14.79</v>
      </c>
      <c r="J78">
        <v>11.69</v>
      </c>
      <c r="K78">
        <v>10.54</v>
      </c>
      <c r="L78">
        <v>10.54</v>
      </c>
      <c r="N78">
        <v>14</v>
      </c>
    </row>
    <row r="79" spans="1:14" ht="12.75">
      <c r="A79" t="s">
        <v>486</v>
      </c>
      <c r="B79">
        <v>11.43</v>
      </c>
      <c r="C79">
        <v>10.4</v>
      </c>
      <c r="D79">
        <v>16.75</v>
      </c>
      <c r="E79">
        <v>22.83</v>
      </c>
      <c r="F79">
        <v>9.58</v>
      </c>
      <c r="G79">
        <v>7.25</v>
      </c>
      <c r="H79">
        <v>8.04</v>
      </c>
      <c r="I79">
        <v>11.92</v>
      </c>
      <c r="J79">
        <v>10.67</v>
      </c>
      <c r="K79">
        <v>5.67</v>
      </c>
      <c r="L79">
        <v>5.58</v>
      </c>
      <c r="N79">
        <v>15.25</v>
      </c>
    </row>
    <row r="80" spans="1:15" ht="12.75">
      <c r="A80" t="s">
        <v>487</v>
      </c>
      <c r="B80" s="22">
        <f>42*22/144</f>
        <v>6.416666666666667</v>
      </c>
      <c r="C80">
        <f>2*(72*73)/144</f>
        <v>73</v>
      </c>
      <c r="D80" s="22">
        <f>72.25*(114)/144</f>
        <v>57.197916666666664</v>
      </c>
      <c r="E80">
        <f>3*(72*89)/144</f>
        <v>133.5</v>
      </c>
      <c r="F80">
        <f>2*30*30/144</f>
        <v>12.5</v>
      </c>
      <c r="G80">
        <v>0</v>
      </c>
      <c r="H80">
        <v>0</v>
      </c>
      <c r="I80" s="41">
        <f>B80</f>
        <v>6.416666666666667</v>
      </c>
      <c r="J80" s="22">
        <f>B80</f>
        <v>6.416666666666667</v>
      </c>
      <c r="K80" s="22">
        <f>B80</f>
        <v>6.416666666666667</v>
      </c>
      <c r="L80">
        <v>0</v>
      </c>
      <c r="N80" s="22">
        <f>2*((71.25*80.75/144)+(72*82/144))+3*(35*21/144)</f>
        <v>177.22135416666669</v>
      </c>
      <c r="O80" s="23">
        <f>SUM(B80:N80)</f>
        <v>479.0859375000001</v>
      </c>
    </row>
    <row r="81" spans="1:14" ht="12.75">
      <c r="A81" t="s">
        <v>488</v>
      </c>
      <c r="B81">
        <f>D365</f>
        <v>0.19</v>
      </c>
      <c r="C81" s="22">
        <f>D372</f>
        <v>0.17285714285714285</v>
      </c>
      <c r="D81" s="22">
        <f>(2*D366+D362)/3</f>
        <v>0.18333333333333335</v>
      </c>
      <c r="E81" s="22">
        <f>D373</f>
        <v>0.17250000000000001</v>
      </c>
      <c r="F81">
        <f>B81</f>
        <v>0.19</v>
      </c>
      <c r="G81">
        <v>0</v>
      </c>
      <c r="H81">
        <v>0</v>
      </c>
      <c r="I81">
        <v>0.17</v>
      </c>
      <c r="J81">
        <v>0.17</v>
      </c>
      <c r="K81">
        <f>B81</f>
        <v>0.19</v>
      </c>
      <c r="L81">
        <v>0</v>
      </c>
      <c r="N81">
        <f>D371</f>
        <v>0.29</v>
      </c>
    </row>
    <row r="82" spans="1:15" ht="12.75">
      <c r="A82" t="s">
        <v>489</v>
      </c>
      <c r="B82">
        <f>14.75+11+1.125</f>
        <v>26.875</v>
      </c>
      <c r="C82">
        <f>C78+11.3+1.125+1.125</f>
        <v>29.76</v>
      </c>
      <c r="D82">
        <v>16.75</v>
      </c>
      <c r="E82">
        <f>33.83+14.83+7.58+1.125</f>
        <v>57.364999999999995</v>
      </c>
      <c r="F82">
        <v>9.58</v>
      </c>
      <c r="G82">
        <v>0</v>
      </c>
      <c r="H82">
        <v>8.04</v>
      </c>
      <c r="I82">
        <f>26.71+1.125</f>
        <v>27.835</v>
      </c>
      <c r="J82">
        <f>23.37+1.125</f>
        <v>24.495</v>
      </c>
      <c r="K82">
        <v>8.54</v>
      </c>
      <c r="L82">
        <v>0</v>
      </c>
      <c r="M82">
        <v>0</v>
      </c>
      <c r="N82">
        <f>46.58+1.125+1.125</f>
        <v>48.83</v>
      </c>
      <c r="O82" s="23">
        <f>SUM(B82:N82)</f>
        <v>258.07</v>
      </c>
    </row>
    <row r="83" spans="1:14" ht="12.75">
      <c r="A83" t="s">
        <v>490</v>
      </c>
      <c r="B83" s="21">
        <f>1/B72</f>
        <v>0.025</v>
      </c>
      <c r="C83" s="21">
        <f>B83</f>
        <v>0.025</v>
      </c>
      <c r="D83" s="21">
        <f>B83</f>
        <v>0.025</v>
      </c>
      <c r="E83" s="21">
        <f>B83</f>
        <v>0.025</v>
      </c>
      <c r="F83" s="21">
        <f>B83</f>
        <v>0.025</v>
      </c>
      <c r="G83" s="21">
        <f>B83</f>
        <v>0.025</v>
      </c>
      <c r="H83" s="21">
        <f>E83</f>
        <v>0.025</v>
      </c>
      <c r="I83" s="21">
        <f>E83</f>
        <v>0.025</v>
      </c>
      <c r="J83" s="21">
        <f>B83</f>
        <v>0.025</v>
      </c>
      <c r="K83" s="21">
        <f>B83</f>
        <v>0.025</v>
      </c>
      <c r="L83" s="21">
        <v>0</v>
      </c>
      <c r="M83" s="22">
        <v>0</v>
      </c>
      <c r="N83" s="21">
        <f>1/(14.28+0.54+0.17+0.68+9.924+0.81)</f>
        <v>0.037873049537948796</v>
      </c>
    </row>
    <row r="84" spans="1:14" ht="12.75">
      <c r="A84" t="s">
        <v>491</v>
      </c>
      <c r="B84" s="21">
        <f>1/(F72+1.98)</f>
        <v>0.019054878048780487</v>
      </c>
      <c r="C84" s="21">
        <f>B84</f>
        <v>0.019054878048780487</v>
      </c>
      <c r="D84" s="21">
        <f>B84</f>
        <v>0.019054878048780487</v>
      </c>
      <c r="E84" s="21">
        <f>1/(F72)</f>
        <v>0.019801980198019802</v>
      </c>
      <c r="F84" s="21">
        <f>1/(E72+1.98)</f>
        <v>0.016005121638924456</v>
      </c>
      <c r="G84" s="21">
        <f>F84</f>
        <v>0.016005121638924456</v>
      </c>
      <c r="H84" s="21">
        <f>1/(E72+0.78)</f>
        <v>0.01631853785900783</v>
      </c>
      <c r="I84" s="21">
        <f>H84</f>
        <v>0.01631853785900783</v>
      </c>
      <c r="J84" s="21">
        <f>F84</f>
        <v>0.016005121638924456</v>
      </c>
      <c r="K84" s="21">
        <f>F84</f>
        <v>0.016005121638924456</v>
      </c>
      <c r="L84" s="21">
        <f>F84</f>
        <v>0.016005121638924456</v>
      </c>
      <c r="M84" s="21">
        <v>0</v>
      </c>
      <c r="N84" s="21">
        <f>1/(0.61+0.17+(6.6*9.4))</f>
        <v>0.01591849729385546</v>
      </c>
    </row>
    <row r="85" spans="1:14" ht="12.75">
      <c r="A85" t="s">
        <v>567</v>
      </c>
      <c r="B85">
        <v>10.85</v>
      </c>
      <c r="C85" s="22">
        <v>8.825</v>
      </c>
      <c r="D85" s="22">
        <f>(B85+C85)/2</f>
        <v>9.837499999999999</v>
      </c>
      <c r="E85" s="22">
        <f>((724.7*8.825)+(1.74*55))/779.7</f>
        <v>8.325224445299474</v>
      </c>
      <c r="F85" s="22">
        <f>((B85*132.56)+(1.74*29.44))/F91</f>
        <v>9.19368250566619</v>
      </c>
      <c r="G85">
        <f>B85</f>
        <v>10.85</v>
      </c>
      <c r="H85" s="22">
        <v>8.825</v>
      </c>
      <c r="I85" s="22">
        <v>8.825</v>
      </c>
      <c r="J85" s="22">
        <f>B85</f>
        <v>10.85</v>
      </c>
      <c r="K85">
        <f>L85</f>
        <v>9.97</v>
      </c>
      <c r="L85">
        <v>9.97</v>
      </c>
      <c r="M85">
        <v>5.04</v>
      </c>
      <c r="N85">
        <v>9</v>
      </c>
    </row>
    <row r="86" spans="1:15" ht="12.75">
      <c r="A86" t="s">
        <v>568</v>
      </c>
      <c r="B86" s="20">
        <f>1/(B85+M85)</f>
        <v>0.06293266205160478</v>
      </c>
      <c r="C86" s="20">
        <f>1/(C85+M85)</f>
        <v>0.0721240533717995</v>
      </c>
      <c r="D86" s="20">
        <f>1/(D85+M85)</f>
        <v>0.06721559401781214</v>
      </c>
      <c r="E86" s="20">
        <f>1/(E85+M85)</f>
        <v>0.07482104053641225</v>
      </c>
      <c r="F86" s="20">
        <f>1/(F85+M85)</f>
        <v>0.07025588772279533</v>
      </c>
      <c r="G86" s="20">
        <f>1/(G85+M85)</f>
        <v>0.06293266205160478</v>
      </c>
      <c r="H86" s="20">
        <f>1/(H85+M85)</f>
        <v>0.0721240533717995</v>
      </c>
      <c r="I86" s="20">
        <f>1/(I85+M85)</f>
        <v>0.0721240533717995</v>
      </c>
      <c r="J86" s="20">
        <f>1/(J85+M85)</f>
        <v>0.06293266205160478</v>
      </c>
      <c r="K86" s="20">
        <f>1/(K85+M85)</f>
        <v>0.06662225183211191</v>
      </c>
      <c r="L86" s="20">
        <f>1/(L85+M85)</f>
        <v>0.06662225183211191</v>
      </c>
      <c r="M86" s="20">
        <v>0</v>
      </c>
      <c r="N86" s="20">
        <f>1/(N85+M85)</f>
        <v>0.07122507122507123</v>
      </c>
      <c r="O86" s="20"/>
    </row>
    <row r="87" spans="1:14" ht="12.75">
      <c r="A87" t="s">
        <v>492</v>
      </c>
      <c r="B87">
        <f>M72</f>
        <v>3.5</v>
      </c>
      <c r="C87">
        <f>M72</f>
        <v>3.5</v>
      </c>
      <c r="D87">
        <f>M72</f>
        <v>3.5</v>
      </c>
      <c r="E87">
        <f>M72</f>
        <v>3.5</v>
      </c>
      <c r="F87">
        <f>M72</f>
        <v>3.5</v>
      </c>
      <c r="G87">
        <v>0</v>
      </c>
      <c r="H87">
        <f>M72</f>
        <v>3.5</v>
      </c>
      <c r="I87">
        <f>M72</f>
        <v>3.5</v>
      </c>
      <c r="J87">
        <f>M72</f>
        <v>3.5</v>
      </c>
      <c r="K87">
        <f>M72</f>
        <v>3.5</v>
      </c>
      <c r="L87">
        <v>0</v>
      </c>
      <c r="M87">
        <v>0</v>
      </c>
      <c r="N87">
        <v>3.5</v>
      </c>
    </row>
    <row r="88" spans="1:14" ht="12.75">
      <c r="A88" t="s">
        <v>546</v>
      </c>
      <c r="B88" s="20">
        <f>1/I72</f>
        <v>0.045454545454545456</v>
      </c>
      <c r="C88" s="20">
        <f>B88</f>
        <v>0.045454545454545456</v>
      </c>
      <c r="D88" s="20">
        <f>B88</f>
        <v>0.045454545454545456</v>
      </c>
      <c r="E88" s="20">
        <f>B88</f>
        <v>0.045454545454545456</v>
      </c>
      <c r="F88" s="20">
        <f>B88</f>
        <v>0.045454545454545456</v>
      </c>
      <c r="G88" s="20">
        <v>0.0001</v>
      </c>
      <c r="H88" s="20">
        <f>B88</f>
        <v>0.045454545454545456</v>
      </c>
      <c r="I88" s="20">
        <f>B88</f>
        <v>0.045454545454545456</v>
      </c>
      <c r="J88" s="20">
        <f>B88</f>
        <v>0.045454545454545456</v>
      </c>
      <c r="K88" s="20">
        <f>B88</f>
        <v>0.045454545454545456</v>
      </c>
      <c r="L88" s="20">
        <v>0.0001</v>
      </c>
      <c r="M88" s="20">
        <v>0</v>
      </c>
      <c r="N88" s="20">
        <f>B88</f>
        <v>0.045454545454545456</v>
      </c>
    </row>
    <row r="89" spans="1:14" ht="12.75">
      <c r="A89" t="s">
        <v>357</v>
      </c>
      <c r="B89">
        <f>E89-2.5</f>
        <v>69.5</v>
      </c>
      <c r="C89">
        <f>E89-2</f>
        <v>70</v>
      </c>
      <c r="D89">
        <f>E89-0.5</f>
        <v>71.5</v>
      </c>
      <c r="E89" s="1">
        <v>72</v>
      </c>
      <c r="F89">
        <f>E89-1.5</f>
        <v>70.5</v>
      </c>
      <c r="G89">
        <f>E89-2</f>
        <v>70</v>
      </c>
      <c r="H89">
        <f>E89-9</f>
        <v>63</v>
      </c>
      <c r="I89">
        <f>H89-1</f>
        <v>62</v>
      </c>
      <c r="J89">
        <f>F89-0.5</f>
        <v>70</v>
      </c>
      <c r="K89">
        <f>B89-0.5</f>
        <v>69</v>
      </c>
      <c r="L89">
        <f>G89</f>
        <v>70</v>
      </c>
      <c r="N89">
        <f>E89-9.5</f>
        <v>62.5</v>
      </c>
    </row>
    <row r="90" spans="1:15" ht="12.75">
      <c r="A90" t="s">
        <v>655</v>
      </c>
      <c r="B90" s="23">
        <f>B89-Q67/2</f>
        <v>67.75</v>
      </c>
      <c r="C90" s="23">
        <f>C89-Q67/2</f>
        <v>68.25</v>
      </c>
      <c r="D90" s="23">
        <f>D89-Q67/2</f>
        <v>69.75</v>
      </c>
      <c r="E90" s="23">
        <f>E89-Q67/2</f>
        <v>70.25</v>
      </c>
      <c r="F90" s="23">
        <f>F89-Q67/3</f>
        <v>69.33333333333333</v>
      </c>
      <c r="G90" s="23">
        <f>G89-Q67/3</f>
        <v>68.83333333333333</v>
      </c>
      <c r="H90" s="23">
        <f>H89-Q67/4</f>
        <v>62.125</v>
      </c>
      <c r="I90" s="23">
        <f>I89-Q67/4</f>
        <v>61.125</v>
      </c>
      <c r="J90" s="23">
        <f>J89-Q67/3</f>
        <v>68.83333333333333</v>
      </c>
      <c r="K90" s="23">
        <f>K89-Q67/4</f>
        <v>68.125</v>
      </c>
      <c r="L90" s="23">
        <f>L89-Q67/4</f>
        <v>69.125</v>
      </c>
      <c r="N90">
        <f>N89-7.5</f>
        <v>55</v>
      </c>
      <c r="O90" s="23">
        <f>(B90*B91+C90*C91+D90*D91+E90*E91+F90*F91+G90*G91+H90*H91+I90*I91+J90*J91+K90*K91+L90*L91)/(SUM(B91:L91))</f>
        <v>68.51127978072951</v>
      </c>
    </row>
    <row r="91" spans="1:16" ht="12.75">
      <c r="A91" t="s">
        <v>548</v>
      </c>
      <c r="B91" s="23">
        <f>(B78*B79)+1.79+6.2</f>
        <v>193.2703</v>
      </c>
      <c r="C91" s="23">
        <f>(C78*C79)+1.79</f>
        <v>170.374</v>
      </c>
      <c r="D91" s="23">
        <f>(D78*D79)+3.25-7.85+9.48</f>
        <v>384.6025</v>
      </c>
      <c r="E91" s="23">
        <f>(E78*E79)+4.07+3.25</f>
        <v>779.6588999999999</v>
      </c>
      <c r="F91" s="23">
        <f>(F78*F79)+3.15+1.56</f>
        <v>162.01360000000003</v>
      </c>
      <c r="G91" s="23">
        <f>(G78*G79)+6.36</f>
        <v>75.815</v>
      </c>
      <c r="H91" s="23">
        <f>(H78*H79)+8</f>
        <v>91.7768</v>
      </c>
      <c r="I91" s="23">
        <f>(I78*I79)-4.89</f>
        <v>171.4068</v>
      </c>
      <c r="J91" s="23">
        <f>(J78*J79)+3.15</f>
        <v>127.8823</v>
      </c>
      <c r="K91" s="23">
        <f>K78*K79</f>
        <v>59.761799999999994</v>
      </c>
      <c r="L91" s="23">
        <f>L78*L79</f>
        <v>58.813199999999995</v>
      </c>
      <c r="M91">
        <v>0</v>
      </c>
      <c r="N91" s="23">
        <f>(N78*N79)+12.64+4.45</f>
        <v>230.58999999999997</v>
      </c>
      <c r="O91" s="23">
        <f>SUM(B91:N91)</f>
        <v>2505.9652</v>
      </c>
      <c r="P91" t="s">
        <v>306</v>
      </c>
    </row>
    <row r="92" spans="1:16" ht="12.75">
      <c r="A92" t="s">
        <v>33</v>
      </c>
      <c r="B92" s="23">
        <f>B91/M73</f>
        <v>17.9559162362035</v>
      </c>
      <c r="C92" s="23">
        <f>C91/M73</f>
        <v>15.828719015942621</v>
      </c>
      <c r="D92" s="23">
        <f>D91/M73</f>
        <v>35.73177189787803</v>
      </c>
      <c r="E92" s="23">
        <f>E91/M73</f>
        <v>72.43477089449625</v>
      </c>
      <c r="F92" s="23">
        <f>F91/M73</f>
        <v>15.051990040506896</v>
      </c>
      <c r="G92" s="23">
        <f>G91/M73</f>
        <v>7.043647106915901</v>
      </c>
      <c r="H92" s="23">
        <f>H91/M73</f>
        <v>8.526589616856812</v>
      </c>
      <c r="I92" s="23">
        <f>I91*0.6/M73</f>
        <v>9.554803225686573</v>
      </c>
      <c r="J92" s="23">
        <f>J91/M73</f>
        <v>11.88099706417927</v>
      </c>
      <c r="K92" s="23">
        <f>K91/M73</f>
        <v>5.552213014233155</v>
      </c>
      <c r="L92" s="23">
        <f>L91/M73</f>
        <v>5.464082648927867</v>
      </c>
      <c r="N92" s="23">
        <f>N91/M73</f>
        <v>21.42312980787097</v>
      </c>
      <c r="O92" s="23">
        <f>SUM(B92:N92)</f>
        <v>226.44863056969788</v>
      </c>
      <c r="P92" t="s">
        <v>550</v>
      </c>
    </row>
    <row r="93" spans="1:15" ht="12.75">
      <c r="A93" t="s">
        <v>280</v>
      </c>
      <c r="B93" s="23">
        <f aca="true" t="shared" si="0" ref="B93:O93">B82</f>
        <v>26.875</v>
      </c>
      <c r="C93">
        <f t="shared" si="0"/>
        <v>29.76</v>
      </c>
      <c r="D93">
        <f t="shared" si="0"/>
        <v>16.75</v>
      </c>
      <c r="E93">
        <f t="shared" si="0"/>
        <v>57.364999999999995</v>
      </c>
      <c r="F93" s="49">
        <f t="shared" si="0"/>
        <v>9.58</v>
      </c>
      <c r="G93">
        <f t="shared" si="0"/>
        <v>0</v>
      </c>
      <c r="H93">
        <f t="shared" si="0"/>
        <v>8.04</v>
      </c>
      <c r="I93">
        <f t="shared" si="0"/>
        <v>27.835</v>
      </c>
      <c r="J93" s="49">
        <f t="shared" si="0"/>
        <v>24.495</v>
      </c>
      <c r="K93">
        <f t="shared" si="0"/>
        <v>8.54</v>
      </c>
      <c r="L93">
        <f t="shared" si="0"/>
        <v>0</v>
      </c>
      <c r="M93">
        <f t="shared" si="0"/>
        <v>0</v>
      </c>
      <c r="N93" s="23">
        <f>N82</f>
        <v>48.83</v>
      </c>
      <c r="O93" s="23">
        <f t="shared" si="0"/>
        <v>258.07</v>
      </c>
    </row>
    <row r="94" spans="1:15" ht="12.75">
      <c r="A94" t="s">
        <v>633</v>
      </c>
      <c r="B94" s="23">
        <f>B77*B82</f>
        <v>277.61875</v>
      </c>
      <c r="C94" s="23">
        <f>C77*C82</f>
        <v>303.84960000000007</v>
      </c>
      <c r="D94">
        <f>D77*D82</f>
        <v>172.3575</v>
      </c>
      <c r="E94" s="23">
        <f>E77*E82</f>
        <v>586.84395</v>
      </c>
      <c r="F94" s="23">
        <f>F77*F82</f>
        <v>87.8486</v>
      </c>
      <c r="G94">
        <v>0</v>
      </c>
      <c r="H94" s="23">
        <f>H77*H82</f>
        <v>83.05319999999999</v>
      </c>
      <c r="I94" s="23">
        <f>I77*I82</f>
        <v>285.86545</v>
      </c>
      <c r="J94" s="23">
        <f>J77*J82</f>
        <v>224.61915000000002</v>
      </c>
      <c r="K94">
        <f>K77*K82</f>
        <v>78.99499999999999</v>
      </c>
      <c r="L94">
        <f>L77*L82</f>
        <v>0</v>
      </c>
      <c r="M94">
        <f>M77*M82</f>
        <v>0</v>
      </c>
      <c r="N94" s="23">
        <f>N77*N82</f>
        <v>619.1644</v>
      </c>
      <c r="O94" s="23">
        <f>O82*9.9</f>
        <v>2554.893</v>
      </c>
    </row>
    <row r="95" spans="1:15" ht="12.75">
      <c r="A95" t="s">
        <v>634</v>
      </c>
      <c r="B95" s="23">
        <f>B94-B93-B80</f>
        <v>244.32708333333332</v>
      </c>
      <c r="C95" s="23">
        <f>C94-C93-C80</f>
        <v>201.08960000000008</v>
      </c>
      <c r="D95" s="23">
        <f>D94-D93-D80</f>
        <v>98.40958333333333</v>
      </c>
      <c r="E95" s="23">
        <f>E94-E93-E80</f>
        <v>395.97894999999994</v>
      </c>
      <c r="F95" s="23">
        <f>F94-F93-F80</f>
        <v>65.7686</v>
      </c>
      <c r="G95">
        <v>0</v>
      </c>
      <c r="H95" s="23">
        <f>H94-H93-H80</f>
        <v>75.01319999999998</v>
      </c>
      <c r="I95" s="23">
        <f>I94-I93-I80</f>
        <v>251.61378333333337</v>
      </c>
      <c r="J95" s="23">
        <f>J94-J93-J80</f>
        <v>193.70748333333336</v>
      </c>
      <c r="K95" s="23">
        <f>K94-K93-K80</f>
        <v>64.03833333333331</v>
      </c>
      <c r="L95" s="22">
        <f>L94-L93-L80</f>
        <v>0</v>
      </c>
      <c r="M95" s="22">
        <v>0</v>
      </c>
      <c r="N95" s="23">
        <f>N94-N93-N80</f>
        <v>393.1130458333333</v>
      </c>
      <c r="O95" s="23">
        <f>SUM(B95:N95)</f>
        <v>1983.0596625</v>
      </c>
    </row>
    <row r="96" spans="1:15" ht="12.75">
      <c r="A96" t="s">
        <v>57</v>
      </c>
      <c r="B96" s="24">
        <f aca="true" t="shared" si="1" ref="B96:L96">B77*B91</f>
        <v>1996.482199</v>
      </c>
      <c r="C96" s="24">
        <f t="shared" si="1"/>
        <v>1739.51854</v>
      </c>
      <c r="D96" s="24">
        <f t="shared" si="1"/>
        <v>3957.559725</v>
      </c>
      <c r="E96" s="24">
        <f t="shared" si="1"/>
        <v>7975.9105469999995</v>
      </c>
      <c r="F96" s="24">
        <f t="shared" si="1"/>
        <v>1485.6647120000002</v>
      </c>
      <c r="G96" s="24">
        <f t="shared" si="1"/>
        <v>695.2235499999999</v>
      </c>
      <c r="H96" s="24">
        <f t="shared" si="1"/>
        <v>948.0543439999999</v>
      </c>
      <c r="I96" s="24">
        <f t="shared" si="1"/>
        <v>1760.347836</v>
      </c>
      <c r="J96" s="24">
        <f t="shared" si="1"/>
        <v>1172.680691</v>
      </c>
      <c r="K96" s="24">
        <f t="shared" si="1"/>
        <v>552.79665</v>
      </c>
      <c r="L96" s="24">
        <f t="shared" si="1"/>
        <v>498.147804</v>
      </c>
      <c r="M96" s="24"/>
      <c r="N96" s="24">
        <f>N77*N91</f>
        <v>2923.8812</v>
      </c>
      <c r="O96" s="24">
        <f>SUM(B96:N96)</f>
        <v>25706.267798</v>
      </c>
    </row>
    <row r="97" spans="1:15" ht="12.75">
      <c r="A97" t="s">
        <v>582</v>
      </c>
      <c r="B97" s="22">
        <f>B95*B83</f>
        <v>6.1081770833333335</v>
      </c>
      <c r="C97" s="22">
        <f>C95*C83</f>
        <v>5.027240000000003</v>
      </c>
      <c r="D97" s="22">
        <f>D95*D83</f>
        <v>2.4602395833333333</v>
      </c>
      <c r="E97" s="22">
        <f>E95*E83</f>
        <v>9.899473749999999</v>
      </c>
      <c r="F97" s="22">
        <f>F95*F83</f>
        <v>1.6442150000000002</v>
      </c>
      <c r="G97" s="22">
        <v>0</v>
      </c>
      <c r="H97" s="22">
        <f>H95*H83</f>
        <v>1.8753299999999997</v>
      </c>
      <c r="I97" s="22">
        <f>I95*I83</f>
        <v>6.290344583333335</v>
      </c>
      <c r="J97" s="22">
        <f>J95*J83</f>
        <v>4.842687083333335</v>
      </c>
      <c r="K97" s="22">
        <f>K95*K83</f>
        <v>1.6009583333333328</v>
      </c>
      <c r="L97" s="22">
        <f>L95*L83</f>
        <v>0</v>
      </c>
      <c r="M97" s="22">
        <f>M95*M83</f>
        <v>0</v>
      </c>
      <c r="N97" s="22">
        <f>N95*N83</f>
        <v>14.888389858859766</v>
      </c>
      <c r="O97" s="23">
        <f>SUM(B97:L97)</f>
        <v>39.74866541666666</v>
      </c>
    </row>
    <row r="98" spans="1:15" ht="12.75">
      <c r="A98" t="s">
        <v>574</v>
      </c>
      <c r="B98" s="22">
        <f>B93/E73</f>
        <v>1.2215909090909092</v>
      </c>
      <c r="C98" s="22">
        <f>C93/E73</f>
        <v>1.3527272727272728</v>
      </c>
      <c r="D98" s="22">
        <f>D93/E73</f>
        <v>0.7613636363636364</v>
      </c>
      <c r="E98" s="22">
        <f>E93/E73</f>
        <v>2.6075</v>
      </c>
      <c r="F98" s="22">
        <f>F93/E73</f>
        <v>0.4354545454545455</v>
      </c>
      <c r="G98" s="22">
        <f>G93/E73</f>
        <v>0</v>
      </c>
      <c r="H98" s="22">
        <f>H93/E73</f>
        <v>0.3654545454545454</v>
      </c>
      <c r="I98" s="22">
        <f>I93/E73</f>
        <v>1.2652272727272729</v>
      </c>
      <c r="J98" s="22">
        <f>J93/E73</f>
        <v>1.113409090909091</v>
      </c>
      <c r="K98" s="22">
        <f>K93/E73</f>
        <v>0.38818181818181813</v>
      </c>
      <c r="L98" s="22">
        <f>L93/E73</f>
        <v>0</v>
      </c>
      <c r="M98" s="22"/>
      <c r="N98" s="22">
        <f>N93/E73</f>
        <v>2.2195454545454543</v>
      </c>
      <c r="O98" s="23">
        <f>SUM(B98:L98)</f>
        <v>9.510909090909092</v>
      </c>
    </row>
    <row r="99" spans="1:15" ht="12.75">
      <c r="A99" t="s">
        <v>575</v>
      </c>
      <c r="B99" s="22">
        <f aca="true" t="shared" si="2" ref="B99:L99">B97+B98</f>
        <v>7.329767992424243</v>
      </c>
      <c r="C99" s="22">
        <f t="shared" si="2"/>
        <v>6.379967272727275</v>
      </c>
      <c r="D99" s="22">
        <f t="shared" si="2"/>
        <v>3.2216032196969695</v>
      </c>
      <c r="E99" s="22">
        <f t="shared" si="2"/>
        <v>12.506973749999998</v>
      </c>
      <c r="F99" s="22">
        <f t="shared" si="2"/>
        <v>2.0796695454545455</v>
      </c>
      <c r="G99" s="22">
        <f t="shared" si="2"/>
        <v>0</v>
      </c>
      <c r="H99" s="22">
        <f t="shared" si="2"/>
        <v>2.240784545454545</v>
      </c>
      <c r="I99" s="22">
        <f t="shared" si="2"/>
        <v>7.555571856060608</v>
      </c>
      <c r="J99" s="22">
        <f t="shared" si="2"/>
        <v>5.956096174242425</v>
      </c>
      <c r="K99" s="22">
        <f t="shared" si="2"/>
        <v>1.989140151515151</v>
      </c>
      <c r="L99" s="22">
        <f t="shared" si="2"/>
        <v>0</v>
      </c>
      <c r="M99" s="22"/>
      <c r="N99" s="22">
        <f>N97+N98</f>
        <v>17.10793531340522</v>
      </c>
      <c r="O99" s="23">
        <f>O97+O98</f>
        <v>49.25957450757575</v>
      </c>
    </row>
    <row r="100" spans="1:15" ht="12.75">
      <c r="A100" t="s">
        <v>493</v>
      </c>
      <c r="B100" s="22">
        <f>B91*B84</f>
        <v>3.6827419969512194</v>
      </c>
      <c r="C100" s="22">
        <f>C91*C84</f>
        <v>3.2464557926829265</v>
      </c>
      <c r="D100" s="22">
        <f>D91*D84</f>
        <v>7.328553734756098</v>
      </c>
      <c r="E100" s="22">
        <f>E91*E84</f>
        <v>15.4387900990099</v>
      </c>
      <c r="F100" s="22">
        <f>F91*F84</f>
        <v>2.593047375160052</v>
      </c>
      <c r="G100" s="22">
        <f>G91*G84</f>
        <v>1.2134282970550576</v>
      </c>
      <c r="H100" s="22">
        <f>H91*H84</f>
        <v>1.4976631853785898</v>
      </c>
      <c r="I100" s="22">
        <f>I91*I84</f>
        <v>2.7971083550913836</v>
      </c>
      <c r="J100" s="22">
        <f>J91*J84</f>
        <v>2.046771766965429</v>
      </c>
      <c r="K100" s="22">
        <f>K91*K84</f>
        <v>0.9564948783610754</v>
      </c>
      <c r="L100" s="22">
        <f>L91*L84</f>
        <v>0.9413124199743917</v>
      </c>
      <c r="M100" s="22">
        <v>0</v>
      </c>
      <c r="N100" s="22">
        <f>N91*N84*1.4</f>
        <v>5.138904807386182</v>
      </c>
      <c r="O100" s="23">
        <f aca="true" t="shared" si="3" ref="O100:O113">SUM(B100:L100)</f>
        <v>41.74236790138613</v>
      </c>
    </row>
    <row r="101" spans="1:15" ht="12.75">
      <c r="A101" t="s">
        <v>494</v>
      </c>
      <c r="B101" s="22">
        <f>B80*B81</f>
        <v>1.2191666666666667</v>
      </c>
      <c r="C101" s="22">
        <f>C80*C81</f>
        <v>12.618571428571428</v>
      </c>
      <c r="D101" s="22">
        <f>D80*D81</f>
        <v>10.486284722222223</v>
      </c>
      <c r="E101" s="22">
        <f>E80*E81</f>
        <v>23.028750000000002</v>
      </c>
      <c r="F101" s="22">
        <f>F80*F81</f>
        <v>2.375</v>
      </c>
      <c r="G101" s="22">
        <v>0</v>
      </c>
      <c r="H101" s="22">
        <f>H80*H81</f>
        <v>0</v>
      </c>
      <c r="I101" s="22">
        <f>I80*I81</f>
        <v>1.0908333333333335</v>
      </c>
      <c r="J101" s="22">
        <f>J80*J81</f>
        <v>1.0908333333333335</v>
      </c>
      <c r="K101" s="22">
        <f>K80*K81</f>
        <v>1.2191666666666667</v>
      </c>
      <c r="L101" s="22">
        <f>L80*L81</f>
        <v>0</v>
      </c>
      <c r="M101" s="22">
        <v>0</v>
      </c>
      <c r="N101" s="22">
        <f>N80*N81</f>
        <v>51.394192708333335</v>
      </c>
      <c r="O101" s="23">
        <f t="shared" si="3"/>
        <v>53.12860615079366</v>
      </c>
    </row>
    <row r="102" spans="1:15" ht="12.75">
      <c r="A102" t="s">
        <v>495</v>
      </c>
      <c r="B102" s="22">
        <f>0.018*J69*B77*B91</f>
        <v>1.085865337681616</v>
      </c>
      <c r="C102" s="22">
        <f>0.018*J69*C77*C91</f>
        <v>0.9461055489433552</v>
      </c>
      <c r="D102" s="22">
        <f>0.018*J69*D77*D91</f>
        <v>2.152474451980971</v>
      </c>
      <c r="E102" s="22">
        <f>0.018*J69*E77*E91</f>
        <v>4.338012532130028</v>
      </c>
      <c r="F102" s="22">
        <f>0.018*J69*F77*F91</f>
        <v>0.8080371640606555</v>
      </c>
      <c r="G102" s="22">
        <f>0.018*J69*G77*G91</f>
        <v>0.37812466109794846</v>
      </c>
      <c r="H102" s="22">
        <f>0.018*J69*H77*H91</f>
        <v>0.5156366287181121</v>
      </c>
      <c r="I102" s="22">
        <f>0.018*J69*I77*I91</f>
        <v>0.9574343804981966</v>
      </c>
      <c r="J102" s="22">
        <f>0.018*J69*J77*J91</f>
        <v>0.6378084989504211</v>
      </c>
      <c r="K102" s="22">
        <f>0.018*J69*K77*K91</f>
        <v>0.3006601918725728</v>
      </c>
      <c r="L102" s="22">
        <f>0.018*J69*L77*L91</f>
        <v>0.27093726839976473</v>
      </c>
      <c r="M102" s="22">
        <v>0</v>
      </c>
      <c r="N102" s="22">
        <f>0.018*J69*N77*N91</f>
        <v>1.5902677460230783</v>
      </c>
      <c r="O102" s="23">
        <f t="shared" si="3"/>
        <v>12.39109666433364</v>
      </c>
    </row>
    <row r="103" spans="1:15" ht="12.75">
      <c r="A103" t="s">
        <v>499</v>
      </c>
      <c r="B103" s="22">
        <f>0.018*J70*B77*B91</f>
        <v>8.829311875784002</v>
      </c>
      <c r="C103" s="22">
        <f>0.018*J70*C77*C91</f>
        <v>7.692906909493788</v>
      </c>
      <c r="D103" s="22">
        <f>0.018*J70*D77*D91</f>
        <v>17.502048902098412</v>
      </c>
      <c r="E103" s="22">
        <f>0.018*J70*E77*E91</f>
        <v>35.27294245252521</v>
      </c>
      <c r="F103" s="22">
        <f>0.018*J70*F77*F91</f>
        <v>6.570254967294514</v>
      </c>
      <c r="G103" s="22">
        <f>0.018*J70*G77*G91</f>
        <v>3.0745806546205596</v>
      </c>
      <c r="H103" s="22">
        <f>0.018*J70*H77*H91</f>
        <v>4.192708295901922</v>
      </c>
      <c r="I103" s="22">
        <f>0.018*J70*I77*I91</f>
        <v>7.785023107989891</v>
      </c>
      <c r="J103" s="22">
        <f>0.018*J70*J77*J91</f>
        <v>5.186103616017712</v>
      </c>
      <c r="K103" s="22">
        <f>0.018*J70*K77*K91</f>
        <v>2.4447070097511108</v>
      </c>
      <c r="L103" s="22">
        <f>0.018*J70*L77*L91</f>
        <v>2.2030260645228634</v>
      </c>
      <c r="M103" s="22">
        <v>0</v>
      </c>
      <c r="N103" s="22">
        <f>0.018*J70*N77*N91</f>
        <v>12.930673268948881</v>
      </c>
      <c r="O103" s="23">
        <f t="shared" si="3"/>
        <v>100.75361385599999</v>
      </c>
    </row>
    <row r="104" spans="1:15" ht="12.75">
      <c r="A104" t="s">
        <v>622</v>
      </c>
      <c r="B104" s="22">
        <f aca="true" t="shared" si="4" ref="B104:L104">SUM(B99:B103)</f>
        <v>22.146853869507748</v>
      </c>
      <c r="C104" s="22">
        <f t="shared" si="4"/>
        <v>30.884006952418773</v>
      </c>
      <c r="D104" s="22">
        <f t="shared" si="4"/>
        <v>40.69096503075467</v>
      </c>
      <c r="E104" s="22">
        <f t="shared" si="4"/>
        <v>90.58546883366515</v>
      </c>
      <c r="F104" s="22">
        <f t="shared" si="4"/>
        <v>14.426009051969768</v>
      </c>
      <c r="G104" s="22">
        <f t="shared" si="4"/>
        <v>4.6661336127735655</v>
      </c>
      <c r="H104" s="22">
        <f t="shared" si="4"/>
        <v>8.44679265545317</v>
      </c>
      <c r="I104" s="22">
        <f t="shared" si="4"/>
        <v>20.185971032973413</v>
      </c>
      <c r="J104" s="22">
        <f t="shared" si="4"/>
        <v>14.91761338950932</v>
      </c>
      <c r="K104" s="22">
        <f t="shared" si="4"/>
        <v>6.910168898166576</v>
      </c>
      <c r="L104" s="22">
        <f t="shared" si="4"/>
        <v>3.4152757528970197</v>
      </c>
      <c r="M104" s="22"/>
      <c r="N104" s="22">
        <f>SUM(N99:N103)</f>
        <v>88.16197384409669</v>
      </c>
      <c r="O104" s="23">
        <f t="shared" si="3"/>
        <v>257.27525908008914</v>
      </c>
    </row>
    <row r="105" spans="1:15" ht="12.75">
      <c r="A105" t="s">
        <v>623</v>
      </c>
      <c r="B105" s="22">
        <f aca="true" t="shared" si="5" ref="B105:K105">B87*B82*B88</f>
        <v>4.275568181818182</v>
      </c>
      <c r="C105" s="22">
        <f t="shared" si="5"/>
        <v>4.734545454545455</v>
      </c>
      <c r="D105" s="22">
        <f t="shared" si="5"/>
        <v>2.6647727272727275</v>
      </c>
      <c r="E105" s="22">
        <f t="shared" si="5"/>
        <v>9.126249999999999</v>
      </c>
      <c r="F105" s="22">
        <f t="shared" si="5"/>
        <v>1.5240909090909092</v>
      </c>
      <c r="G105" s="22">
        <f t="shared" si="5"/>
        <v>0</v>
      </c>
      <c r="H105" s="22">
        <f t="shared" si="5"/>
        <v>1.279090909090909</v>
      </c>
      <c r="I105" s="22">
        <f t="shared" si="5"/>
        <v>4.428295454545455</v>
      </c>
      <c r="J105" s="22">
        <f t="shared" si="5"/>
        <v>3.896931818181818</v>
      </c>
      <c r="K105" s="22">
        <f t="shared" si="5"/>
        <v>1.3586363636363636</v>
      </c>
      <c r="L105" s="22">
        <v>0</v>
      </c>
      <c r="M105" s="22">
        <f>M87*M82*M88</f>
        <v>0</v>
      </c>
      <c r="N105" s="22">
        <f>N87*N82*N88</f>
        <v>7.768409090909091</v>
      </c>
      <c r="O105" s="23">
        <f t="shared" si="3"/>
        <v>33.28818181818182</v>
      </c>
    </row>
    <row r="106" spans="1:15" ht="12.75">
      <c r="A106" t="s">
        <v>563</v>
      </c>
      <c r="B106" s="22">
        <f>B105*(13)</f>
        <v>55.58238636363636</v>
      </c>
      <c r="C106" s="22">
        <f>C105*13</f>
        <v>61.54909090909092</v>
      </c>
      <c r="D106" s="22">
        <f>D105*13</f>
        <v>34.64204545454546</v>
      </c>
      <c r="E106" s="22">
        <f>E105*13</f>
        <v>118.64124999999999</v>
      </c>
      <c r="F106" s="22">
        <f>F105*17</f>
        <v>25.909545454545455</v>
      </c>
      <c r="G106" s="22">
        <f>G105*10</f>
        <v>0</v>
      </c>
      <c r="H106" s="22">
        <f>H105*17</f>
        <v>21.744545454545452</v>
      </c>
      <c r="I106" s="22">
        <f>I105*17</f>
        <v>75.28102272727273</v>
      </c>
      <c r="J106" s="22">
        <f>J105*17</f>
        <v>66.24784090909091</v>
      </c>
      <c r="K106" s="22">
        <f>K105*17</f>
        <v>23.096818181818183</v>
      </c>
      <c r="L106" s="22">
        <v>0</v>
      </c>
      <c r="M106" s="22"/>
      <c r="N106" s="22">
        <f>N105*15</f>
        <v>116.52613636363637</v>
      </c>
      <c r="O106" s="23">
        <f t="shared" si="3"/>
        <v>482.6945454545455</v>
      </c>
    </row>
    <row r="107" spans="1:15" ht="12.75">
      <c r="A107" t="s">
        <v>624</v>
      </c>
      <c r="B107" s="22">
        <f>B105*(29)</f>
        <v>123.99147727272727</v>
      </c>
      <c r="C107" s="22">
        <f>C105*(29)</f>
        <v>137.3018181818182</v>
      </c>
      <c r="D107" s="22">
        <f>D105*(29)</f>
        <v>77.2784090909091</v>
      </c>
      <c r="E107" s="22">
        <f>E105*(29)</f>
        <v>264.66125</v>
      </c>
      <c r="F107" s="22">
        <f>F105*(31)</f>
        <v>47.246818181818185</v>
      </c>
      <c r="G107" s="22">
        <f>G105*33</f>
        <v>0</v>
      </c>
      <c r="H107" s="22">
        <f>H105*(31)</f>
        <v>39.65181818181818</v>
      </c>
      <c r="I107" s="22">
        <f>I105*(31)</f>
        <v>137.2771590909091</v>
      </c>
      <c r="J107" s="22">
        <f>J105*31</f>
        <v>120.80488636363637</v>
      </c>
      <c r="K107" s="22">
        <f>K105*31</f>
        <v>42.11772727272727</v>
      </c>
      <c r="L107" s="22">
        <v>0</v>
      </c>
      <c r="M107" s="22"/>
      <c r="N107" s="22">
        <f>N105*(45-17-2)</f>
        <v>201.97863636363635</v>
      </c>
      <c r="O107" s="23">
        <f t="shared" si="3"/>
        <v>990.3313636363636</v>
      </c>
    </row>
    <row r="108" spans="1:15" ht="12.75">
      <c r="A108" t="s">
        <v>569</v>
      </c>
      <c r="B108" s="22">
        <f aca="true" t="shared" si="6" ref="B108:L108">B91*B86</f>
        <v>12.16301447451227</v>
      </c>
      <c r="C108" s="22">
        <f t="shared" si="6"/>
        <v>12.288063469166968</v>
      </c>
      <c r="D108" s="22">
        <f t="shared" si="6"/>
        <v>25.851285498235598</v>
      </c>
      <c r="E108" s="22">
        <f t="shared" si="6"/>
        <v>58.33489016147458</v>
      </c>
      <c r="F108" s="22">
        <f t="shared" si="6"/>
        <v>11.382409291165875</v>
      </c>
      <c r="G108" s="22">
        <f t="shared" si="6"/>
        <v>4.771239773442416</v>
      </c>
      <c r="H108" s="22">
        <f t="shared" si="6"/>
        <v>6.619314821492968</v>
      </c>
      <c r="I108" s="22">
        <f t="shared" si="6"/>
        <v>12.362553191489363</v>
      </c>
      <c r="J108" s="22">
        <f t="shared" si="6"/>
        <v>8.047973568281938</v>
      </c>
      <c r="K108" s="22">
        <f t="shared" si="6"/>
        <v>3.9814656895403053</v>
      </c>
      <c r="L108" s="22">
        <f t="shared" si="6"/>
        <v>3.918267821452364</v>
      </c>
      <c r="M108" s="22"/>
      <c r="N108" s="22">
        <f>N91*N86</f>
        <v>16.42378917378917</v>
      </c>
      <c r="O108" s="23">
        <f t="shared" si="3"/>
        <v>159.72047776025462</v>
      </c>
    </row>
    <row r="109" spans="1:15" ht="12.75">
      <c r="A109" t="s">
        <v>566</v>
      </c>
      <c r="B109" s="22">
        <f>(B90-Q67-R71)*(B108)</f>
        <v>88.18185494021395</v>
      </c>
      <c r="C109" s="22">
        <f>(C90-(Q67/2)-R71)*(C108)</f>
        <v>116.73660295708619</v>
      </c>
      <c r="D109" s="22">
        <f>(D90-(Q67/2)-R71)*(D108)</f>
        <v>284.3641404805916</v>
      </c>
      <c r="E109" s="22">
        <f>(E90-(Q67/2)-R71)*(E108)</f>
        <v>670.8512368569577</v>
      </c>
      <c r="F109" s="22">
        <f>(F90-Q67-R71)*(F108)</f>
        <v>100.5446154052985</v>
      </c>
      <c r="G109" s="22">
        <f>(G90-Q67-R71)*(G108)</f>
        <v>39.760331445353444</v>
      </c>
      <c r="H109" s="22">
        <f>(H90-Q67-R71)*(H108)</f>
        <v>10.756386584926073</v>
      </c>
      <c r="I109" s="22">
        <f>(I90-Q67-R71)*(I108)</f>
        <v>7.726595744680852</v>
      </c>
      <c r="J109" s="22">
        <f>(J90-Q67-R71)*(J108)</f>
        <v>67.06644640234944</v>
      </c>
      <c r="K109" s="22">
        <f>(K90-Q67-R71)*(K108)</f>
        <v>30.358675882744826</v>
      </c>
      <c r="L109" s="22">
        <f>(L90-Q67-R71)*(L108)</f>
        <v>33.79505996002664</v>
      </c>
      <c r="M109" s="22"/>
      <c r="N109" s="22">
        <f>(N90-(Q67/2)-R71)*N108</f>
        <v>-61.58920940170939</v>
      </c>
      <c r="O109" s="23">
        <f t="shared" si="3"/>
        <v>1450.1419466602292</v>
      </c>
    </row>
    <row r="110" spans="1:15" ht="12.75">
      <c r="A110" t="s">
        <v>564</v>
      </c>
      <c r="B110" s="22">
        <f aca="true" t="shared" si="7" ref="B110:L110">B107+B109</f>
        <v>212.1733322129412</v>
      </c>
      <c r="C110" s="22">
        <f t="shared" si="7"/>
        <v>254.03842113890437</v>
      </c>
      <c r="D110" s="22">
        <f t="shared" si="7"/>
        <v>361.6425495715007</v>
      </c>
      <c r="E110" s="22">
        <f t="shared" si="7"/>
        <v>935.5124868569577</v>
      </c>
      <c r="F110" s="22">
        <f t="shared" si="7"/>
        <v>147.79143358711667</v>
      </c>
      <c r="G110" s="22">
        <f t="shared" si="7"/>
        <v>39.760331445353444</v>
      </c>
      <c r="H110" s="22">
        <f t="shared" si="7"/>
        <v>50.40820476674425</v>
      </c>
      <c r="I110" s="22">
        <f t="shared" si="7"/>
        <v>145.00375483558994</v>
      </c>
      <c r="J110" s="22">
        <f t="shared" si="7"/>
        <v>187.8713327659858</v>
      </c>
      <c r="K110" s="22">
        <f t="shared" si="7"/>
        <v>72.4764031554721</v>
      </c>
      <c r="L110" s="22">
        <f t="shared" si="7"/>
        <v>33.79505996002664</v>
      </c>
      <c r="M110" s="22"/>
      <c r="N110" s="22">
        <f>N107+N109</f>
        <v>140.38942696192697</v>
      </c>
      <c r="O110" s="23">
        <f t="shared" si="3"/>
        <v>2440.4733102965924</v>
      </c>
    </row>
    <row r="111" spans="1:15" ht="12.75">
      <c r="A111" t="s">
        <v>565</v>
      </c>
      <c r="B111" s="22">
        <f aca="true" t="shared" si="8" ref="B111:L111">B106+B109</f>
        <v>143.76424130385033</v>
      </c>
      <c r="C111" s="22">
        <f t="shared" si="8"/>
        <v>178.2856938661771</v>
      </c>
      <c r="D111" s="22">
        <f t="shared" si="8"/>
        <v>319.006185935137</v>
      </c>
      <c r="E111" s="22">
        <f t="shared" si="8"/>
        <v>789.4924868569577</v>
      </c>
      <c r="F111" s="22">
        <f t="shared" si="8"/>
        <v>126.45416085984395</v>
      </c>
      <c r="G111" s="22">
        <f t="shared" si="8"/>
        <v>39.760331445353444</v>
      </c>
      <c r="H111" s="22">
        <f t="shared" si="8"/>
        <v>32.50093203947152</v>
      </c>
      <c r="I111" s="22">
        <f t="shared" si="8"/>
        <v>83.00761847195358</v>
      </c>
      <c r="J111" s="22">
        <f t="shared" si="8"/>
        <v>133.31428731144035</v>
      </c>
      <c r="K111" s="22">
        <f t="shared" si="8"/>
        <v>53.45549406456301</v>
      </c>
      <c r="L111" s="22">
        <f t="shared" si="8"/>
        <v>33.79505996002664</v>
      </c>
      <c r="M111" s="22"/>
      <c r="N111" s="22">
        <f>N106+N109</f>
        <v>54.93692696192698</v>
      </c>
      <c r="O111" s="23">
        <f t="shared" si="3"/>
        <v>1932.836492114775</v>
      </c>
    </row>
    <row r="112" spans="1:16" ht="15">
      <c r="A112" s="1" t="s">
        <v>625</v>
      </c>
      <c r="B112" s="24">
        <f>B104*(B90-2-B69)+(B110+B111)/2</f>
        <v>1762.576181121675</v>
      </c>
      <c r="C112" s="24">
        <f>C104*(C90-1-B69)+(C110+C111)/2</f>
        <v>2472.2387653767323</v>
      </c>
      <c r="D112" s="24">
        <f>D104*(D90-1.5-B69)+(D110+D111)/2</f>
        <v>3353.4903282807018</v>
      </c>
      <c r="E112" s="24">
        <f>E104*(E90-1-B69)+(E110+E111)/2</f>
        <v>7660.941922823527</v>
      </c>
      <c r="F112" s="24">
        <f>F104*(F90-2-B69)+(F110+F111)/2</f>
        <v>1192.1449258908692</v>
      </c>
      <c r="G112" s="24">
        <f>G104*(G90-2-B69)+(G110+G111)/2</f>
        <v>378.67716951980674</v>
      </c>
      <c r="H112" s="24">
        <f>H104*(H90-2-B69)+(H110+H111)/2</f>
        <v>598.3093742138581</v>
      </c>
      <c r="I112" s="24">
        <f>I104*(I90-2-B69)+(I110+I111)/2</f>
        <v>1424.5798559695706</v>
      </c>
      <c r="J112" s="24">
        <f>J104*(J90-2-B69)+(J110+J111)/2</f>
        <v>1244.10879589674</v>
      </c>
      <c r="K112" s="24">
        <f>K104*(K90-2-B69)+(K110+K111)/2</f>
        <v>559.9798466106486</v>
      </c>
      <c r="L112" s="24">
        <f>L104*(L90-2-B69)+(L110+L111)/2</f>
        <v>282.8540442400418</v>
      </c>
      <c r="M112" s="24"/>
      <c r="N112" s="24">
        <f>N104*(N90-3-B69)+(N110+N111)/2</f>
        <v>5193.425265150716</v>
      </c>
      <c r="O112" s="62">
        <f t="shared" si="3"/>
        <v>20929.90120994417</v>
      </c>
      <c r="P112" s="24" t="s">
        <v>561</v>
      </c>
    </row>
    <row r="113" spans="1:17" ht="12.75">
      <c r="A113" s="1" t="s">
        <v>630</v>
      </c>
      <c r="B113" s="22">
        <f>B112/O73</f>
        <v>0.5164301731970921</v>
      </c>
      <c r="C113" s="22">
        <f>C112/O73</f>
        <v>0.7243594390204314</v>
      </c>
      <c r="D113" s="22">
        <f>D112/O73</f>
        <v>0.9825638231118377</v>
      </c>
      <c r="E113" s="22">
        <f>E112/O73</f>
        <v>2.2446357816652585</v>
      </c>
      <c r="F113" s="22">
        <f>F112/O73</f>
        <v>0.349295319628148</v>
      </c>
      <c r="G113" s="22">
        <f>G112/O73</f>
        <v>0.11095141210659441</v>
      </c>
      <c r="H113" s="22">
        <f>H112/O73</f>
        <v>0.17530306891704017</v>
      </c>
      <c r="I113" s="22">
        <f>I112/O73</f>
        <v>0.41739814121581326</v>
      </c>
      <c r="J113" s="22">
        <f>J112/O73</f>
        <v>0.3645205965123762</v>
      </c>
      <c r="K113" s="22">
        <f>K112/O73</f>
        <v>0.1640726184033544</v>
      </c>
      <c r="L113" s="22">
        <f>L112/O73</f>
        <v>0.08287548908293049</v>
      </c>
      <c r="M113" s="22"/>
      <c r="N113" s="22">
        <f>N112/O73</f>
        <v>1.52165990774999</v>
      </c>
      <c r="O113" s="27">
        <f t="shared" si="3"/>
        <v>6.132405862860876</v>
      </c>
      <c r="P113" s="23">
        <f>O113*1000/O92</f>
        <v>27.08078140032471</v>
      </c>
      <c r="Q113" t="s">
        <v>32</v>
      </c>
    </row>
    <row r="114" spans="1:16" ht="12.75">
      <c r="A114" s="1" t="s">
        <v>629</v>
      </c>
      <c r="B114" s="23">
        <f>100*B112/O112</f>
        <v>8.421330628566196</v>
      </c>
      <c r="C114" s="23">
        <f>100*C112/O112</f>
        <v>11.81199443121178</v>
      </c>
      <c r="D114" s="23">
        <f>100*D112/O112</f>
        <v>16.022485221704716</v>
      </c>
      <c r="E114" s="23">
        <f>100*E112/O112</f>
        <v>36.60285753849462</v>
      </c>
      <c r="F114" s="23">
        <f>100*F112/O112</f>
        <v>5.695893706963412</v>
      </c>
      <c r="G114" s="23">
        <f>100*G112/O112</f>
        <v>1.8092640080875797</v>
      </c>
      <c r="H114" s="23">
        <f>100*H112/O112</f>
        <v>2.858634487627637</v>
      </c>
      <c r="I114" s="23">
        <f>100*I112/O112</f>
        <v>6.806433731721233</v>
      </c>
      <c r="J114" s="23">
        <f>100*J112/O112</f>
        <v>5.944169460798227</v>
      </c>
      <c r="K114" s="23">
        <f>100*K112/O112</f>
        <v>2.6755016232211934</v>
      </c>
      <c r="L114" s="23">
        <f>100*L112/O112</f>
        <v>1.351435161603404</v>
      </c>
      <c r="N114" s="23"/>
      <c r="O114" s="1"/>
      <c r="P114" s="13" t="s">
        <v>231</v>
      </c>
    </row>
    <row r="115" spans="1:16" ht="12.75">
      <c r="A115" s="1"/>
      <c r="B115" s="23"/>
      <c r="C115" s="23"/>
      <c r="D115" s="23"/>
      <c r="E115" s="23"/>
      <c r="F115" s="23"/>
      <c r="G115" s="23"/>
      <c r="H115" s="23"/>
      <c r="I115" s="23"/>
      <c r="J115" s="23"/>
      <c r="K115" s="23"/>
      <c r="L115" s="22"/>
      <c r="N115" s="23"/>
      <c r="O115" s="1"/>
      <c r="P115" s="13" t="s">
        <v>232</v>
      </c>
    </row>
    <row r="116" spans="1:7" ht="12.75">
      <c r="A116" s="14" t="s">
        <v>61</v>
      </c>
      <c r="F116" s="1"/>
      <c r="G116" s="1"/>
    </row>
    <row r="117" spans="1:12" ht="12.75">
      <c r="A117" t="s">
        <v>181</v>
      </c>
      <c r="B117">
        <f>1</f>
        <v>1</v>
      </c>
      <c r="C117" s="15" t="s">
        <v>500</v>
      </c>
      <c r="D117" s="15" t="s">
        <v>501</v>
      </c>
      <c r="E117" s="15" t="s">
        <v>502</v>
      </c>
      <c r="F117" s="15" t="s">
        <v>503</v>
      </c>
      <c r="G117" s="11"/>
      <c r="H117" s="15" t="s">
        <v>504</v>
      </c>
      <c r="I117" s="15" t="s">
        <v>505</v>
      </c>
      <c r="J117" s="15" t="s">
        <v>506</v>
      </c>
      <c r="K117" s="15" t="s">
        <v>507</v>
      </c>
      <c r="L117" s="15" t="s">
        <v>508</v>
      </c>
    </row>
    <row r="118" spans="1:12" ht="12.75">
      <c r="A118" t="s">
        <v>715</v>
      </c>
      <c r="C118">
        <v>30</v>
      </c>
      <c r="D118">
        <v>31</v>
      </c>
      <c r="E118">
        <v>30</v>
      </c>
      <c r="F118">
        <v>31</v>
      </c>
      <c r="H118">
        <v>31</v>
      </c>
      <c r="I118">
        <v>28</v>
      </c>
      <c r="J118">
        <v>31</v>
      </c>
      <c r="K118">
        <v>30</v>
      </c>
      <c r="L118">
        <v>31</v>
      </c>
    </row>
    <row r="119" spans="1:15" ht="12.75">
      <c r="A119" t="s">
        <v>519</v>
      </c>
      <c r="C119">
        <v>5</v>
      </c>
      <c r="D119">
        <v>12</v>
      </c>
      <c r="E119">
        <v>28</v>
      </c>
      <c r="F119">
        <v>31</v>
      </c>
      <c r="H119">
        <v>31</v>
      </c>
      <c r="I119">
        <v>28</v>
      </c>
      <c r="J119">
        <v>28</v>
      </c>
      <c r="K119">
        <v>20</v>
      </c>
      <c r="L119">
        <v>7</v>
      </c>
      <c r="N119">
        <f>SUM(C119:L119)</f>
        <v>190</v>
      </c>
      <c r="O119" t="s">
        <v>147</v>
      </c>
    </row>
    <row r="120" spans="1:12" ht="12.75">
      <c r="A120" t="s">
        <v>606</v>
      </c>
      <c r="C120">
        <v>39.6</v>
      </c>
      <c r="D120">
        <v>36.5</v>
      </c>
      <c r="E120">
        <v>21.6</v>
      </c>
      <c r="F120">
        <v>23.2</v>
      </c>
      <c r="H120">
        <v>25.5</v>
      </c>
      <c r="I120">
        <v>29.6</v>
      </c>
      <c r="J120">
        <v>34.5</v>
      </c>
      <c r="K120">
        <v>34.7</v>
      </c>
      <c r="L120">
        <v>35.4</v>
      </c>
    </row>
    <row r="121" spans="1:12" ht="12.75">
      <c r="A121" t="s">
        <v>509</v>
      </c>
      <c r="C121">
        <v>43.3</v>
      </c>
      <c r="D121">
        <v>42.8</v>
      </c>
      <c r="E121">
        <v>30.4</v>
      </c>
      <c r="F121">
        <v>27.1</v>
      </c>
      <c r="H121">
        <v>33.1</v>
      </c>
      <c r="I121">
        <v>40.4</v>
      </c>
      <c r="J121">
        <v>38.2</v>
      </c>
      <c r="K121">
        <v>43.8</v>
      </c>
      <c r="L121">
        <v>48.6</v>
      </c>
    </row>
    <row r="122" spans="1:12" ht="12.75">
      <c r="A122" t="s">
        <v>638</v>
      </c>
      <c r="C122" s="23">
        <f>(C121+C120)/2</f>
        <v>41.45</v>
      </c>
      <c r="D122" s="23">
        <f>(D121+D120)/2</f>
        <v>39.65</v>
      </c>
      <c r="E122">
        <f>(E121+E120)/2</f>
        <v>26</v>
      </c>
      <c r="F122" s="23">
        <f>(F121+F120)/2</f>
        <v>25.15</v>
      </c>
      <c r="H122">
        <f>(H121+H120)/2</f>
        <v>29.3</v>
      </c>
      <c r="I122">
        <f>(I121+I120)/2</f>
        <v>35</v>
      </c>
      <c r="J122" s="23">
        <f>(J121+J120)/2</f>
        <v>36.35</v>
      </c>
      <c r="K122" s="23">
        <f>(K121+K120)/2</f>
        <v>39.25</v>
      </c>
      <c r="L122">
        <f>(L121+L120)/2</f>
        <v>42</v>
      </c>
    </row>
    <row r="123" spans="1:14" ht="12.75">
      <c r="A123" t="s">
        <v>188</v>
      </c>
      <c r="C123" s="24">
        <f>8.5*C122/100*C118</f>
        <v>105.69750000000002</v>
      </c>
      <c r="D123" s="24">
        <f>8*D122/100*D118</f>
        <v>98.332</v>
      </c>
      <c r="E123" s="24">
        <f>7*E122/100*E118</f>
        <v>54.6</v>
      </c>
      <c r="F123" s="24">
        <f>6*F122/100*F118</f>
        <v>46.77899999999999</v>
      </c>
      <c r="H123" s="24">
        <f>6.5*H122/100*H118</f>
        <v>59.039500000000004</v>
      </c>
      <c r="I123" s="24">
        <f>7.25*I122/100*I118</f>
        <v>71.05</v>
      </c>
      <c r="J123" s="24">
        <f>8*J122/100*J118</f>
        <v>90.148</v>
      </c>
      <c r="K123" s="24">
        <f>8.5*K122/100*K118</f>
        <v>100.0875</v>
      </c>
      <c r="L123" s="24">
        <f>9*L122/100*L118</f>
        <v>117.17999999999999</v>
      </c>
      <c r="N123" s="23"/>
    </row>
    <row r="124" spans="3:14" ht="12.75">
      <c r="C124" s="23"/>
      <c r="D124" s="23"/>
      <c r="E124" s="23"/>
      <c r="F124" s="22"/>
      <c r="H124" s="23"/>
      <c r="I124" s="23"/>
      <c r="J124" s="22"/>
      <c r="K124" s="23"/>
      <c r="L124" s="23"/>
      <c r="N124" s="23"/>
    </row>
    <row r="125" spans="1:14" ht="12.75">
      <c r="A125" t="s">
        <v>183</v>
      </c>
      <c r="C125">
        <v>1</v>
      </c>
      <c r="D125">
        <v>1</v>
      </c>
      <c r="E125" s="11">
        <v>1</v>
      </c>
      <c r="F125">
        <v>1.1</v>
      </c>
      <c r="H125">
        <v>1.2</v>
      </c>
      <c r="I125">
        <v>1.2</v>
      </c>
      <c r="J125">
        <v>1</v>
      </c>
      <c r="K125">
        <v>1</v>
      </c>
      <c r="L125">
        <v>1</v>
      </c>
      <c r="N125" t="s">
        <v>536</v>
      </c>
    </row>
    <row r="126" spans="1:12" ht="12.75">
      <c r="A126" s="4" t="s">
        <v>164</v>
      </c>
      <c r="B126" t="s">
        <v>610</v>
      </c>
      <c r="C126" s="4">
        <f>C274</f>
        <v>1409</v>
      </c>
      <c r="D126" s="4">
        <f>D274</f>
        <v>1570</v>
      </c>
      <c r="E126" s="4">
        <f>E274</f>
        <v>1484</v>
      </c>
      <c r="F126" s="4">
        <f>F274</f>
        <v>1391</v>
      </c>
      <c r="G126" s="4"/>
      <c r="H126" s="4">
        <f>H274</f>
        <v>1514</v>
      </c>
      <c r="I126" s="4">
        <f>I274</f>
        <v>1634</v>
      </c>
      <c r="J126" s="4">
        <f>J274</f>
        <v>1461</v>
      </c>
      <c r="K126" s="4">
        <f>K274</f>
        <v>1093</v>
      </c>
      <c r="L126" s="4">
        <f>L274</f>
        <v>841</v>
      </c>
    </row>
    <row r="127" spans="2:12" ht="12.75">
      <c r="B127" t="s">
        <v>611</v>
      </c>
      <c r="C127">
        <f>C277</f>
        <v>758</v>
      </c>
      <c r="D127">
        <f>D277</f>
        <v>571</v>
      </c>
      <c r="E127" s="24">
        <f>E277</f>
        <v>377.5</v>
      </c>
      <c r="F127" s="24">
        <f>F277</f>
        <v>303.5</v>
      </c>
      <c r="H127">
        <f>H277</f>
        <v>384</v>
      </c>
      <c r="I127" s="24">
        <f>I277</f>
        <v>594.5</v>
      </c>
      <c r="J127" s="24">
        <f>J277</f>
        <v>803.5</v>
      </c>
      <c r="K127">
        <f>K277</f>
        <v>957</v>
      </c>
      <c r="L127" s="24">
        <f>L277</f>
        <v>1044.5</v>
      </c>
    </row>
    <row r="128" spans="1:14" ht="12.75">
      <c r="A128" s="1" t="s">
        <v>170</v>
      </c>
      <c r="B128" s="1"/>
      <c r="C128" s="25">
        <f>C388</f>
        <v>1015</v>
      </c>
      <c r="D128" s="25">
        <f>D388</f>
        <v>1015</v>
      </c>
      <c r="E128" s="25">
        <f>E388</f>
        <v>761</v>
      </c>
      <c r="F128" s="25">
        <f>F388</f>
        <v>840</v>
      </c>
      <c r="G128" s="28"/>
      <c r="H128" s="25">
        <f>H388</f>
        <v>1031</v>
      </c>
      <c r="I128" s="25">
        <f>I388</f>
        <v>1316</v>
      </c>
      <c r="J128" s="25">
        <f>J388</f>
        <v>1268</v>
      </c>
      <c r="K128" s="25">
        <f>K388</f>
        <v>983</v>
      </c>
      <c r="L128" s="25">
        <f>L388</f>
        <v>888</v>
      </c>
      <c r="N128" t="str">
        <f>N135</f>
        <v>Btu/sqft day</v>
      </c>
    </row>
    <row r="129" spans="1:14" ht="12.75">
      <c r="A129" s="1" t="s">
        <v>171</v>
      </c>
      <c r="B129" s="1"/>
      <c r="C129" s="25">
        <f>C127/C126*C128</f>
        <v>546.0397444996452</v>
      </c>
      <c r="D129" s="25">
        <f>D127/D126*D128</f>
        <v>369.14968152866237</v>
      </c>
      <c r="E129" s="25">
        <f>E127/E126*E128</f>
        <v>193.58322102425873</v>
      </c>
      <c r="F129" s="25">
        <f>F127/F126*F128</f>
        <v>183.2782171099928</v>
      </c>
      <c r="G129" s="28"/>
      <c r="H129" s="25">
        <f>H127/H126*H127</f>
        <v>97.39498018494055</v>
      </c>
      <c r="I129" s="25">
        <f>I127/I126*I128</f>
        <v>478.80171358629127</v>
      </c>
      <c r="J129" s="25">
        <f>J127/J126*J128</f>
        <v>697.3566050650239</v>
      </c>
      <c r="K129" s="25">
        <f>K127/K126*K128</f>
        <v>860.6870997255261</v>
      </c>
      <c r="L129" s="25">
        <f>L127/L126*L128</f>
        <v>1102.872770511296</v>
      </c>
      <c r="N129" s="37" t="str">
        <f>N128</f>
        <v>Btu/sqft day</v>
      </c>
    </row>
    <row r="130" spans="1:12" ht="12.75">
      <c r="A130" s="1" t="s">
        <v>172</v>
      </c>
      <c r="B130" s="1"/>
      <c r="C130" s="25">
        <f>C128*C125</f>
        <v>1015</v>
      </c>
      <c r="D130" s="25">
        <f>D128*D125</f>
        <v>1015</v>
      </c>
      <c r="E130" s="25">
        <f>E128*E125</f>
        <v>761</v>
      </c>
      <c r="F130" s="25">
        <f>F128*F125</f>
        <v>924.0000000000001</v>
      </c>
      <c r="G130" s="25"/>
      <c r="H130" s="25">
        <f>H128*H125</f>
        <v>1237.2</v>
      </c>
      <c r="I130" s="25">
        <f>I128*I125</f>
        <v>1579.2</v>
      </c>
      <c r="J130" s="25">
        <f>J128*J125</f>
        <v>1268</v>
      </c>
      <c r="K130" s="25">
        <f>K128*K125</f>
        <v>983</v>
      </c>
      <c r="L130" s="25">
        <f>L128*L125</f>
        <v>888</v>
      </c>
    </row>
    <row r="131" spans="1:12" ht="12.75">
      <c r="A131" s="1" t="s">
        <v>173</v>
      </c>
      <c r="B131" s="1"/>
      <c r="C131" s="25">
        <f>C129*C125</f>
        <v>546.0397444996452</v>
      </c>
      <c r="D131" s="25">
        <f>D129*D125</f>
        <v>369.14968152866237</v>
      </c>
      <c r="E131" s="25">
        <f>E129*E125</f>
        <v>193.58322102425873</v>
      </c>
      <c r="F131" s="25">
        <f>F129*F125</f>
        <v>201.6060388209921</v>
      </c>
      <c r="G131" s="25"/>
      <c r="H131" s="25">
        <f>H129*H125</f>
        <v>116.87397622192866</v>
      </c>
      <c r="I131" s="25">
        <f>I129*I125</f>
        <v>574.5620563035495</v>
      </c>
      <c r="J131" s="25">
        <f>J129*J125</f>
        <v>697.3566050650239</v>
      </c>
      <c r="K131" s="25">
        <f>K129*K125</f>
        <v>860.6870997255261</v>
      </c>
      <c r="L131" s="25">
        <f>L129*L125</f>
        <v>1102.872770511296</v>
      </c>
    </row>
    <row r="132" ht="12.75">
      <c r="A132" s="4"/>
    </row>
    <row r="133" spans="1:12" ht="12.75">
      <c r="A133" t="s">
        <v>165</v>
      </c>
      <c r="B133" t="s">
        <v>510</v>
      </c>
      <c r="C133" s="33">
        <f>C262</f>
        <v>1335.3333333333333</v>
      </c>
      <c r="D133" s="33">
        <f>D262</f>
        <v>1374</v>
      </c>
      <c r="E133" s="33">
        <f>E262</f>
        <v>1263</v>
      </c>
      <c r="F133" s="33">
        <f>F262</f>
        <v>1178.1666666666667</v>
      </c>
      <c r="G133" s="33"/>
      <c r="H133" s="33">
        <f>H262</f>
        <v>1287.8333333333333</v>
      </c>
      <c r="I133" s="33">
        <f>I262</f>
        <v>1428.3333333333333</v>
      </c>
      <c r="J133" s="33">
        <f>J262</f>
        <v>1391.8333333333333</v>
      </c>
      <c r="K133" s="33">
        <f>K262</f>
        <v>1197.6666666666667</v>
      </c>
      <c r="L133" s="33">
        <f>L262</f>
        <v>1023.1666666666666</v>
      </c>
    </row>
    <row r="134" spans="2:12" ht="12.75">
      <c r="B134" t="s">
        <v>511</v>
      </c>
      <c r="C134" s="33">
        <f>C270</f>
        <v>989.8333333333334</v>
      </c>
      <c r="D134" s="33">
        <f>D270</f>
        <v>874.5</v>
      </c>
      <c r="E134" s="33">
        <f>E270</f>
        <v>692</v>
      </c>
      <c r="F134" s="33">
        <f>F270</f>
        <v>607.6666666666666</v>
      </c>
      <c r="G134" s="33"/>
      <c r="H134" s="33">
        <f>H270</f>
        <v>705.8333333333334</v>
      </c>
      <c r="I134" s="33">
        <f>I270</f>
        <v>913.5</v>
      </c>
      <c r="J134" s="33">
        <f>J270</f>
        <v>1046.8333333333333</v>
      </c>
      <c r="K134" s="33">
        <f>K270</f>
        <v>1062.1666666666667</v>
      </c>
      <c r="L134" s="33">
        <f>L270</f>
        <v>1027.6666666666667</v>
      </c>
    </row>
    <row r="135" spans="1:14" ht="12.75">
      <c r="A135" s="1" t="s">
        <v>174</v>
      </c>
      <c r="B135" s="1"/>
      <c r="C135" s="25">
        <f>C133/C126*C128*C125</f>
        <v>961.9328128696475</v>
      </c>
      <c r="D135" s="25">
        <f>D133/D126*D128*D125</f>
        <v>888.2866242038217</v>
      </c>
      <c r="E135" s="25">
        <f>E133/E126*E128*E125</f>
        <v>647.6704851752022</v>
      </c>
      <c r="F135" s="25">
        <f>F133/F126*F128*F125</f>
        <v>782.6211358734723</v>
      </c>
      <c r="G135" s="25"/>
      <c r="H135" s="25">
        <f>H133/H126*H128*H125</f>
        <v>1052.3826948480844</v>
      </c>
      <c r="I135" s="25">
        <f>I133/I126*I128*I125</f>
        <v>1380.4308445532433</v>
      </c>
      <c r="J135" s="25">
        <f>J133/J126*J128*J125</f>
        <v>1207.970339949806</v>
      </c>
      <c r="K135" s="25">
        <f>K133/K126*K128*K125</f>
        <v>1077.1329673681003</v>
      </c>
      <c r="L135" s="25">
        <f>L133/L126*L128*L125</f>
        <v>1080.3472057074912</v>
      </c>
      <c r="N135" t="s">
        <v>176</v>
      </c>
    </row>
    <row r="136" spans="1:14" ht="12.75">
      <c r="A136" s="1" t="s">
        <v>175</v>
      </c>
      <c r="B136" s="1"/>
      <c r="C136" s="25">
        <f>C134/C133*C135*C125</f>
        <v>713.0453039981076</v>
      </c>
      <c r="D136" s="25">
        <f>D134/D133*D135*D125</f>
        <v>565.3614649681529</v>
      </c>
      <c r="E136" s="25">
        <f>E134/E133*E135*E125</f>
        <v>354.85983827493266</v>
      </c>
      <c r="F136" s="25">
        <f>F134/F133*F135*F125</f>
        <v>444.02041696621137</v>
      </c>
      <c r="G136" s="25"/>
      <c r="H136" s="25">
        <f>H134/H133*H135*H125</f>
        <v>692.1455746367238</v>
      </c>
      <c r="I136" s="25">
        <f>I134/I133*I135*I125</f>
        <v>1059.436376988984</v>
      </c>
      <c r="J136" s="25">
        <f>J134/J133*J135*J125</f>
        <v>908.5452886151037</v>
      </c>
      <c r="K136" s="25">
        <f>K134/K133*K135*K125</f>
        <v>955.2697468740471</v>
      </c>
      <c r="L136" s="25">
        <f>L134/L133*L135*L125</f>
        <v>1085.098692033294</v>
      </c>
      <c r="N136" t="s">
        <v>176</v>
      </c>
    </row>
    <row r="137" spans="1:12" ht="12.75">
      <c r="A137" t="s">
        <v>167</v>
      </c>
      <c r="C137" s="23"/>
      <c r="D137" s="23"/>
      <c r="E137" s="23"/>
      <c r="F137" s="23"/>
      <c r="G137" s="23"/>
      <c r="H137" s="23"/>
      <c r="I137" s="23"/>
      <c r="J137" s="23"/>
      <c r="K137" s="23"/>
      <c r="L137" s="23"/>
    </row>
    <row r="138" spans="1:14" ht="12.75">
      <c r="A138" t="s">
        <v>168</v>
      </c>
      <c r="B138" s="23">
        <f>K367</f>
        <v>210.7387152777778</v>
      </c>
      <c r="C138" s="24">
        <f>B138*C135</f>
        <v>202716.48516768854</v>
      </c>
      <c r="D138" s="24">
        <f>B138*D135</f>
        <v>187196.38198314758</v>
      </c>
      <c r="E138" s="24">
        <f>B138*E135</f>
        <v>136489.24596915714</v>
      </c>
      <c r="F138" s="24">
        <f>B138*F135</f>
        <v>164928.57272321073</v>
      </c>
      <c r="G138" s="24"/>
      <c r="H138" s="24">
        <f>B138*H135</f>
        <v>221777.77709285097</v>
      </c>
      <c r="I138" s="24">
        <f>B138*I135</f>
        <v>290910.2227109683</v>
      </c>
      <c r="J138" s="24">
        <f>B138*J135</f>
        <v>254566.11753468262</v>
      </c>
      <c r="K138" s="24">
        <f>B138*K135</f>
        <v>226993.617726494</v>
      </c>
      <c r="L138" s="24">
        <f>B138*L135</f>
        <v>227670.98218473382</v>
      </c>
      <c r="N138" s="24"/>
    </row>
    <row r="139" spans="1:12" ht="12.75">
      <c r="A139" t="s">
        <v>169</v>
      </c>
      <c r="B139">
        <v>0</v>
      </c>
      <c r="C139">
        <f>B139*C134</f>
        <v>0</v>
      </c>
      <c r="D139">
        <f>B139*D134</f>
        <v>0</v>
      </c>
      <c r="E139">
        <f>B139*E134</f>
        <v>0</v>
      </c>
      <c r="F139">
        <f>B139*F134</f>
        <v>0</v>
      </c>
      <c r="H139">
        <f>B139*H134</f>
        <v>0</v>
      </c>
      <c r="I139">
        <f>B139*I134</f>
        <v>0</v>
      </c>
      <c r="J139">
        <f>B139*J134</f>
        <v>0</v>
      </c>
      <c r="K139">
        <f>B139*K134</f>
        <v>0</v>
      </c>
      <c r="L139">
        <f>B139*L134</f>
        <v>0</v>
      </c>
    </row>
    <row r="141" spans="1:12" ht="12.75">
      <c r="A141" s="1" t="s">
        <v>636</v>
      </c>
      <c r="B141" t="s">
        <v>695</v>
      </c>
      <c r="C141" s="24">
        <f>A142*C135</f>
        <v>653685.9520456293</v>
      </c>
      <c r="D141" s="24">
        <f>A142*D135</f>
        <v>603639.339321258</v>
      </c>
      <c r="E141" s="24">
        <f>A142*E135</f>
        <v>440127.5141562079</v>
      </c>
      <c r="F141" s="24">
        <f>A142*F135</f>
        <v>531833.8614193925</v>
      </c>
      <c r="G141" s="24"/>
      <c r="H141" s="24">
        <f>A142*H135</f>
        <v>715151.5933278978</v>
      </c>
      <c r="I141" s="24">
        <f>A142*I135</f>
        <v>938078.2511857403</v>
      </c>
      <c r="J141" s="24">
        <f>A142*J135</f>
        <v>820881.9068738591</v>
      </c>
      <c r="K141" s="24">
        <f>A142*K135</f>
        <v>731970.7570357771</v>
      </c>
      <c r="L141" s="24">
        <f>A142*L135</f>
        <v>734155.0077660524</v>
      </c>
    </row>
    <row r="142" spans="1:13" ht="12.75">
      <c r="A142" s="23">
        <f>((70+18)*11)-B138-B148</f>
        <v>679.5546875</v>
      </c>
      <c r="B142" t="s">
        <v>637</v>
      </c>
      <c r="C142" s="22">
        <f>C141*C118/1000000</f>
        <v>19.61057856136888</v>
      </c>
      <c r="D142" s="22">
        <f>D141*D118/1000000</f>
        <v>18.712819518958998</v>
      </c>
      <c r="E142" s="22">
        <f>E141*E118/1000000</f>
        <v>13.203825424686238</v>
      </c>
      <c r="F142" s="22">
        <f>F141*F118/1000000</f>
        <v>16.486849704001166</v>
      </c>
      <c r="G142" s="22"/>
      <c r="H142" s="22">
        <f>H141*H118/1000000</f>
        <v>22.169699393164834</v>
      </c>
      <c r="I142" s="22">
        <f>I141*I118/1000000</f>
        <v>26.26619103320073</v>
      </c>
      <c r="J142" s="22">
        <f>J141*J118/1000000</f>
        <v>25.447339113089633</v>
      </c>
      <c r="K142" s="22">
        <f>K141*K118/1000000</f>
        <v>21.959122711073313</v>
      </c>
      <c r="L142" s="22">
        <f>L141*L118/1000000</f>
        <v>22.758805240747623</v>
      </c>
      <c r="M142" s="1"/>
    </row>
    <row r="143" spans="1:14" ht="12.75">
      <c r="A143" t="s">
        <v>227</v>
      </c>
      <c r="C143" s="22">
        <f>A144*C119</f>
        <v>0.03748593544921876</v>
      </c>
      <c r="D143" s="22">
        <f>A144*D119</f>
        <v>0.089966245078125</v>
      </c>
      <c r="E143" s="22">
        <f>A144*E119</f>
        <v>0.20992123851562502</v>
      </c>
      <c r="F143" s="22">
        <f>A144*F119</f>
        <v>0.23241279978515628</v>
      </c>
      <c r="G143" s="22"/>
      <c r="H143" s="22">
        <f>A144*H119</f>
        <v>0.23241279978515628</v>
      </c>
      <c r="I143" s="22">
        <f>A144*I119</f>
        <v>0.20992123851562502</v>
      </c>
      <c r="J143" s="22">
        <f>A144*J119</f>
        <v>0.20992123851562502</v>
      </c>
      <c r="K143" s="22">
        <f>A144*K119</f>
        <v>0.14994374179687503</v>
      </c>
      <c r="L143" s="22">
        <f>A144*L118</f>
        <v>0.23241279978515628</v>
      </c>
      <c r="M143" s="27">
        <f>SUM(C143:L143)</f>
        <v>1.6043980372265625</v>
      </c>
      <c r="N143" t="s">
        <v>626</v>
      </c>
    </row>
    <row r="144" spans="1:13" ht="12.75">
      <c r="A144" s="95">
        <f>A142*C83*(B90-B69)*6/1000000</f>
        <v>0.007497187089843751</v>
      </c>
      <c r="C144" t="s">
        <v>177</v>
      </c>
      <c r="M144" s="1"/>
    </row>
    <row r="146" ht="12.75">
      <c r="A146" s="1" t="s">
        <v>37</v>
      </c>
    </row>
    <row r="147" spans="1:15" ht="12.75">
      <c r="A147" t="s">
        <v>679</v>
      </c>
      <c r="B147" s="22">
        <f>J371</f>
        <v>0.5466024710114167</v>
      </c>
      <c r="D147" t="s">
        <v>693</v>
      </c>
      <c r="F147" s="22">
        <f>J370</f>
        <v>0.39</v>
      </c>
      <c r="H147" t="s">
        <v>782</v>
      </c>
      <c r="J147" s="22">
        <f>B147*1.25</f>
        <v>0.6832530887642708</v>
      </c>
      <c r="L147" t="s">
        <v>783</v>
      </c>
      <c r="N147" s="22">
        <f>F147*1.25</f>
        <v>0.48750000000000004</v>
      </c>
      <c r="O147" t="s">
        <v>784</v>
      </c>
    </row>
    <row r="148" spans="1:12" ht="12.75">
      <c r="A148" t="s">
        <v>612</v>
      </c>
      <c r="B148" s="23">
        <f>K371</f>
        <v>77.70659722222223</v>
      </c>
      <c r="C148" s="24">
        <f>C128*B148</f>
        <v>78872.19618055556</v>
      </c>
      <c r="D148" s="24">
        <f>B148*D128</f>
        <v>78872.19618055556</v>
      </c>
      <c r="E148" s="24">
        <f>B148*E128</f>
        <v>59134.72048611112</v>
      </c>
      <c r="F148" s="24">
        <f>B148*F128</f>
        <v>65273.54166666667</v>
      </c>
      <c r="G148" s="24"/>
      <c r="H148" s="24">
        <f>B148*H128</f>
        <v>80115.50173611112</v>
      </c>
      <c r="I148" s="24">
        <f>B148*I128</f>
        <v>102261.88194444445</v>
      </c>
      <c r="J148" s="24">
        <f>B148*J128</f>
        <v>98531.96527777778</v>
      </c>
      <c r="K148" s="24">
        <f>B148*K128</f>
        <v>76385.58506944445</v>
      </c>
      <c r="L148" s="24">
        <f>B148*L128</f>
        <v>69003.45833333334</v>
      </c>
    </row>
    <row r="149" spans="1:12" ht="12.75">
      <c r="A149" t="s">
        <v>694</v>
      </c>
      <c r="B149" s="23">
        <f>K370</f>
        <v>18.375</v>
      </c>
      <c r="C149" s="24">
        <f>B149*C129</f>
        <v>10033.48030518098</v>
      </c>
      <c r="D149" s="24">
        <f>B149*D129</f>
        <v>6783.125398089171</v>
      </c>
      <c r="E149" s="24">
        <f>B149*E129</f>
        <v>3557.0916863207544</v>
      </c>
      <c r="F149" s="24">
        <f>B149*F129</f>
        <v>3367.7372393961177</v>
      </c>
      <c r="G149" s="24"/>
      <c r="H149" s="24">
        <f>B149*H129</f>
        <v>1789.6327608982826</v>
      </c>
      <c r="I149" s="24">
        <f>B149*I129</f>
        <v>8797.981487148101</v>
      </c>
      <c r="J149" s="24">
        <f>B149*J129</f>
        <v>12813.927618069814</v>
      </c>
      <c r="K149" s="24">
        <f>B149*K129</f>
        <v>15815.125457456541</v>
      </c>
      <c r="L149" s="24">
        <f>B149*L129</f>
        <v>20265.287158145064</v>
      </c>
    </row>
    <row r="150" spans="1:12" ht="12.75">
      <c r="A150" t="s">
        <v>727</v>
      </c>
      <c r="B150" s="23"/>
      <c r="C150" s="24">
        <f>J147*B117*C148</f>
        <v>53889.67165798611</v>
      </c>
      <c r="D150" s="24">
        <f>J147*B117*D148</f>
        <v>53889.67165798611</v>
      </c>
      <c r="E150" s="24">
        <f>J147*B117*E148</f>
        <v>40403.980425347225</v>
      </c>
      <c r="F150" s="24">
        <f>J147*B117*F148</f>
        <v>44598.348958333336</v>
      </c>
      <c r="G150" s="24"/>
      <c r="H150" s="24">
        <f>J147*B117*H148</f>
        <v>54739.164019097225</v>
      </c>
      <c r="I150" s="24">
        <f>J147*B117*I148</f>
        <v>69870.7467013889</v>
      </c>
      <c r="J150" s="24">
        <f>J147*B117*J148</f>
        <v>67322.26961805555</v>
      </c>
      <c r="K150" s="24">
        <f>J147*B117*K148</f>
        <v>52190.68693576389</v>
      </c>
      <c r="L150" s="24">
        <f>J147*B117*L148</f>
        <v>47146.82604166667</v>
      </c>
    </row>
    <row r="151" spans="1:12" ht="12.75">
      <c r="A151" t="s">
        <v>728</v>
      </c>
      <c r="B151" s="23"/>
      <c r="C151" s="24">
        <f>(N147*B117*C149)*0.8</f>
        <v>3913.057319020583</v>
      </c>
      <c r="D151" s="24">
        <f>(N147*B117*D149)*0.7</f>
        <v>2314.7415420979296</v>
      </c>
      <c r="E151" s="24">
        <f>(N147*B117*E149)*0.6</f>
        <v>1040.4493182488206</v>
      </c>
      <c r="F151" s="24">
        <f>(N147*B117*F149)*0.5</f>
        <v>820.8859521028038</v>
      </c>
      <c r="G151" s="24"/>
      <c r="H151" s="24">
        <f>(N147*B117*H149)*0.5</f>
        <v>436.22298546895644</v>
      </c>
      <c r="I151" s="24">
        <f>(N147*B117*I149)*0.6</f>
        <v>2573.40958499082</v>
      </c>
      <c r="J151" s="24">
        <f>(N147*B117*J149)*0.7</f>
        <v>4372.752799666324</v>
      </c>
      <c r="K151" s="24">
        <f>(N147*B117*K149)*0.8</f>
        <v>6167.898928408053</v>
      </c>
      <c r="L151" s="24">
        <f>(N147*B117*L149)*0.9</f>
        <v>8891.394740636148</v>
      </c>
    </row>
    <row r="152" spans="1:12" ht="12.75">
      <c r="A152" t="s">
        <v>223</v>
      </c>
      <c r="C152" s="22">
        <f>(C150+C151)*C118/1000000</f>
        <v>1.7340818693102007</v>
      </c>
      <c r="D152" s="22">
        <f>(D150+D151)*D118/1000000</f>
        <v>1.7423368092026053</v>
      </c>
      <c r="E152" s="22">
        <f>(E150+E151)*E118/1000000</f>
        <v>1.2433328923078815</v>
      </c>
      <c r="F152" s="22">
        <f>(F150+F151)*F118/1000000</f>
        <v>1.4079962822235204</v>
      </c>
      <c r="G152" s="22"/>
      <c r="H152" s="22">
        <f>(H150+H151)*H118/1000000</f>
        <v>1.7104369971415516</v>
      </c>
      <c r="I152" s="22">
        <f>(I150+I151)*I118/1000000</f>
        <v>2.028436376018632</v>
      </c>
      <c r="J152" s="22">
        <f>(J150+J151)*J118/1000000</f>
        <v>2.2225456949493783</v>
      </c>
      <c r="K152" s="22">
        <f>(K150+K151)*K118/1000000</f>
        <v>1.7507575759251583</v>
      </c>
      <c r="L152" s="22">
        <f>(L150+L151)*L118/1000000</f>
        <v>1.7371848442513873</v>
      </c>
    </row>
    <row r="153" spans="1:14" ht="12.75">
      <c r="A153" t="s">
        <v>224</v>
      </c>
      <c r="C153" s="22">
        <f>C152*0.92</f>
        <v>1.5953553197653847</v>
      </c>
      <c r="D153" s="22">
        <f>D152*0.92</f>
        <v>1.6029498644663969</v>
      </c>
      <c r="E153" s="22">
        <f>E152*0.92</f>
        <v>1.143866260923251</v>
      </c>
      <c r="F153" s="22">
        <f>F152*0.92</f>
        <v>1.2953565796456388</v>
      </c>
      <c r="G153" s="22"/>
      <c r="H153" s="22">
        <f>H152*0.92</f>
        <v>1.5736020373702275</v>
      </c>
      <c r="I153" s="22">
        <f>I152*0.92</f>
        <v>1.8661614659371415</v>
      </c>
      <c r="J153" s="22">
        <f>J152*0.92</f>
        <v>2.044742039353428</v>
      </c>
      <c r="K153" s="22">
        <f>K152*0.92</f>
        <v>1.6106969698511457</v>
      </c>
      <c r="L153" s="22">
        <f>L152*0.92</f>
        <v>1.5982100567112765</v>
      </c>
      <c r="M153" s="37">
        <f>SUM(C153:L153)</f>
        <v>14.33094059402389</v>
      </c>
      <c r="N153" t="s">
        <v>626</v>
      </c>
    </row>
    <row r="154" spans="1:13" ht="12.75">
      <c r="A154" t="s">
        <v>729</v>
      </c>
      <c r="C154" s="24">
        <f>(N104*C178*24)+(N105*24*C119*(C184-C181))</f>
        <v>331595.11153679655</v>
      </c>
      <c r="D154" s="24">
        <f>(N104*D178*24)+(N105*24*D119*(D184-D181))</f>
        <v>1027227.0299773234</v>
      </c>
      <c r="E154" s="24">
        <f>(N104*E178*24)+(N105*24*E119*(E184-E181))</f>
        <v>1707348.213387478</v>
      </c>
      <c r="F154" s="24">
        <f>(N104*F178*24)+(N105*24*F119*(F184-F181))</f>
        <v>2633683.5205933317</v>
      </c>
      <c r="G154" s="24"/>
      <c r="H154" s="24">
        <f>(N104*H178*24)+(N105*24*H119*(H184-H181))</f>
        <v>3136044.018705198</v>
      </c>
      <c r="I154" s="24">
        <f>(N104*I178*24)+(N105*24*I119*(I184-I181))</f>
        <v>2800785.4176255483</v>
      </c>
      <c r="J154" s="24">
        <f>(N104*J178*24)+(N105*24*J119*(J184-J181))</f>
        <v>2337322.550889177</v>
      </c>
      <c r="K154" s="24">
        <f>(N104*K178*24)+(N105*24*K119*(K184-K181))</f>
        <v>1152796.3727621045</v>
      </c>
      <c r="L154" s="24">
        <f>(N104*L178*24)+(N105*24*L119*(L184-L181))</f>
        <v>619539.643892532</v>
      </c>
      <c r="M154" s="1"/>
    </row>
    <row r="155" spans="1:14" ht="12.75">
      <c r="A155" t="s">
        <v>225</v>
      </c>
      <c r="C155" s="22">
        <f>C154/1000000</f>
        <v>0.33159511153679655</v>
      </c>
      <c r="D155" s="22">
        <f>D154/1000000</f>
        <v>1.0272270299773234</v>
      </c>
      <c r="E155" s="22">
        <f>E154/1000000</f>
        <v>1.707348213387478</v>
      </c>
      <c r="F155" s="22">
        <f>F154/1000000</f>
        <v>2.6336835205933316</v>
      </c>
      <c r="G155" s="22"/>
      <c r="H155" s="22">
        <f>H154/1000000</f>
        <v>3.136044018705198</v>
      </c>
      <c r="I155" s="22">
        <f>I154/1000000</f>
        <v>2.8007854176255482</v>
      </c>
      <c r="J155" s="22">
        <f>J154/1000000</f>
        <v>2.337322550889177</v>
      </c>
      <c r="K155" s="22">
        <f>K154/1000000</f>
        <v>1.1527963727621044</v>
      </c>
      <c r="L155" s="22">
        <f>L154/1000000</f>
        <v>0.619539643892532</v>
      </c>
      <c r="M155" s="32">
        <f>SUM(C155:L155)</f>
        <v>15.746341879369487</v>
      </c>
      <c r="N155" t="s">
        <v>626</v>
      </c>
    </row>
    <row r="156" spans="1:15" ht="12.75">
      <c r="A156" t="s">
        <v>226</v>
      </c>
      <c r="C156" s="21">
        <f>C153-C155</f>
        <v>1.2637602082285881</v>
      </c>
      <c r="D156" s="21">
        <f>((D153/5)-(D155/24))/2</f>
        <v>0.13889442332211213</v>
      </c>
      <c r="E156" s="21">
        <f>((E153/5)-(E155/24))/2</f>
        <v>0.07881687164675266</v>
      </c>
      <c r="F156" s="21">
        <f>((F153/5)-(F155/24))/2</f>
        <v>0.07466725128553614</v>
      </c>
      <c r="H156" s="21">
        <f>((H153/5)-(H155/24))/2</f>
        <v>0.09202595334733113</v>
      </c>
      <c r="I156" s="21">
        <f>((I153/5)-(I155/24))/2</f>
        <v>0.12826645039318188</v>
      </c>
      <c r="J156" s="21">
        <f>((J153/5)-(J155/24))/2</f>
        <v>0.15577998412515162</v>
      </c>
      <c r="K156" s="21">
        <f>((K153/5)-(K155/24))/2</f>
        <v>0.13705310588590408</v>
      </c>
      <c r="L156" s="21">
        <f>L153-L155</f>
        <v>0.9786704128187445</v>
      </c>
      <c r="M156" s="32">
        <f>SUM(C156:L156)</f>
        <v>3.0479346610533025</v>
      </c>
      <c r="N156" t="s">
        <v>626</v>
      </c>
      <c r="O156" t="s">
        <v>680</v>
      </c>
    </row>
    <row r="157" spans="1:15" ht="12.75">
      <c r="A157" t="str">
        <f>A156</f>
        <v>MudRm Gain conveyed to Main M Btu/mon</v>
      </c>
      <c r="C157" s="21">
        <f>C118*C122/100*0.018*8200/1000000*((45*4.5)+(22.5*4.5))</f>
        <v>0.5575045725</v>
      </c>
      <c r="D157" s="21">
        <f>D118*D122/100*0.018*8200/1000000*((42*4)+(21*4))</f>
        <v>0.45718480079999996</v>
      </c>
      <c r="E157" s="21">
        <f>E118*E122/100*0.018*8200/1000000*((39*3)+(19.5*4))</f>
        <v>0.2244996</v>
      </c>
      <c r="F157" s="21">
        <f>F118*F122/100*0.018*8200/1000000*((35*3)+(17.5*3))</f>
        <v>0.1812452355</v>
      </c>
      <c r="H157" s="21">
        <f>H118*H122/100*0.018*8200/1000000*((39*3)+(19.5*4))</f>
        <v>0.26142690599999996</v>
      </c>
      <c r="I157" s="21">
        <f>I118*I122/100*0.018*8200/1000000*((42*4)+(21*4))</f>
        <v>0.36451296</v>
      </c>
      <c r="J157" s="21">
        <f>J118*J122/100*0.018*8200/1000000*((45*4.5)+(22.5*4.5))</f>
        <v>0.50520629475</v>
      </c>
      <c r="K157" s="21">
        <f>K118*K122/100*0.018*8200/1000000*((49*5.5)+(24.5*4.5))</f>
        <v>0.6600017025</v>
      </c>
      <c r="L157" s="21">
        <f>L118*L122/100*0.018*8200/1000000*((52*7)+(26*5))</f>
        <v>0.949345488</v>
      </c>
      <c r="M157" s="32">
        <f>SUM(C157:L157)</f>
        <v>4.160927560049999</v>
      </c>
      <c r="N157" t="str">
        <f>N156</f>
        <v>M Btu/yr</v>
      </c>
      <c r="O157" t="s">
        <v>681</v>
      </c>
    </row>
    <row r="158" spans="1:15" ht="12.75">
      <c r="A158" t="str">
        <f>A156</f>
        <v>MudRm Gain conveyed to Main M Btu/mon</v>
      </c>
      <c r="C158" s="21">
        <f>(C156+C157)/2</f>
        <v>0.9106323903642941</v>
      </c>
      <c r="D158" s="21">
        <f>(D156+D157)/2</f>
        <v>0.29803961206105606</v>
      </c>
      <c r="E158" s="21">
        <f>(E156+E157)/2</f>
        <v>0.15165823582337634</v>
      </c>
      <c r="F158" s="21">
        <f>(F156+F157)/2</f>
        <v>0.12795624339276807</v>
      </c>
      <c r="H158" s="21">
        <f>(H156+H157)/2</f>
        <v>0.17672642967366553</v>
      </c>
      <c r="I158" s="21">
        <f>(I156+I157)/2</f>
        <v>0.24638970519659092</v>
      </c>
      <c r="J158" s="21">
        <f>(J156+J157)/2</f>
        <v>0.3304931394375758</v>
      </c>
      <c r="K158" s="21">
        <f>(K156+K157)/2</f>
        <v>0.3985274041929521</v>
      </c>
      <c r="L158" s="21">
        <f>(L156+L157)/2</f>
        <v>0.9640079504093721</v>
      </c>
      <c r="M158" s="27">
        <f>SUM(C158:L158)</f>
        <v>3.604431110551651</v>
      </c>
      <c r="N158" s="21" t="str">
        <f>N156</f>
        <v>M Btu/yr</v>
      </c>
      <c r="O158" t="s">
        <v>682</v>
      </c>
    </row>
    <row r="159" ht="12.75">
      <c r="A159" s="1" t="s">
        <v>38</v>
      </c>
    </row>
    <row r="160" spans="1:2" ht="12.75">
      <c r="A160" t="s">
        <v>692</v>
      </c>
      <c r="B160" s="21">
        <f>J367*0.93*B117</f>
        <v>0.5343053433070671</v>
      </c>
    </row>
    <row r="161" spans="1:15" ht="12.75">
      <c r="A161" t="s">
        <v>254</v>
      </c>
      <c r="C161" s="22">
        <f>C138*C118/1000000*B160</f>
        <v>3.249375036045714</v>
      </c>
      <c r="D161" s="22">
        <f>D138*D118/1000000*B160</f>
        <v>3.1006208413817427</v>
      </c>
      <c r="E161" s="22">
        <f>E138*E118/1000000*B160</f>
        <v>2.1878080027581968</v>
      </c>
      <c r="F161" s="22">
        <f>F138*F118/1000000*B160</f>
        <v>2.7317887477706106</v>
      </c>
      <c r="G161" s="22"/>
      <c r="H161" s="22">
        <f>H138*H118/1000000*B160</f>
        <v>3.6734085911516927</v>
      </c>
      <c r="I161" s="22">
        <f>I138*I118/1000000*B160</f>
        <v>4.35217681967934</v>
      </c>
      <c r="J161" s="22">
        <f>J138*J118/1000000*B160</f>
        <v>4.21649714153519</v>
      </c>
      <c r="K161" s="22">
        <f>K138*K118/1000000*B160</f>
        <v>3.638517085436026</v>
      </c>
      <c r="L161" s="22">
        <f>L138*L118/1000000*B160</f>
        <v>3.771020491215412</v>
      </c>
      <c r="M161" s="27">
        <f>SUM(C161:L161)</f>
        <v>30.921212756973926</v>
      </c>
      <c r="N161" t="s">
        <v>182</v>
      </c>
      <c r="O161">
        <f>2.1*150*24/1000*3413/1000000</f>
        <v>0.02580228</v>
      </c>
    </row>
    <row r="162" spans="3:13" ht="12.75">
      <c r="C162" s="22"/>
      <c r="D162" s="22"/>
      <c r="E162" s="22"/>
      <c r="F162" s="22"/>
      <c r="G162" s="22"/>
      <c r="H162" s="22"/>
      <c r="I162" s="22"/>
      <c r="J162" s="22"/>
      <c r="K162" s="22"/>
      <c r="L162" s="22"/>
      <c r="M162" s="28"/>
    </row>
    <row r="163" spans="1:13" ht="12.75">
      <c r="A163" s="1" t="s">
        <v>62</v>
      </c>
      <c r="M163" s="1"/>
    </row>
    <row r="164" spans="1:16" ht="12.75">
      <c r="A164" t="s">
        <v>189</v>
      </c>
      <c r="C164" s="24">
        <f>C165/C123*1000</f>
        <v>39.71232396091891</v>
      </c>
      <c r="D164" s="24">
        <f>D165/D123*1000</f>
        <v>35.47804070415454</v>
      </c>
      <c r="E164" s="24">
        <f>E165/E123*1000</f>
        <v>46.69207833511352</v>
      </c>
      <c r="F164" s="24">
        <f>F165/F123*1000</f>
        <v>66.10140855829614</v>
      </c>
      <c r="H164" s="24">
        <f>H165/H123*1000</f>
        <v>69.14943081514095</v>
      </c>
      <c r="I164" s="24">
        <f>I165/I123*1000</f>
        <v>67.67751954104934</v>
      </c>
      <c r="J164" s="24">
        <f>J165/J123*1000</f>
        <v>52.76779872530051</v>
      </c>
      <c r="K164" s="24">
        <f>K165/K123*1000</f>
        <v>41.83327819583717</v>
      </c>
      <c r="L164" s="24">
        <f>L165/L123*1000</f>
        <v>42.39154498557724</v>
      </c>
      <c r="M164" s="15" t="s">
        <v>627</v>
      </c>
      <c r="N164" s="15" t="s">
        <v>628</v>
      </c>
      <c r="O164" s="1"/>
      <c r="P164" s="1"/>
    </row>
    <row r="165" spans="1:16" ht="12.75">
      <c r="A165" s="5" t="s">
        <v>214</v>
      </c>
      <c r="C165" s="22">
        <f>C161+C158+C143</f>
        <v>4.197493361859227</v>
      </c>
      <c r="D165" s="22">
        <f>D161+D158+D143</f>
        <v>3.4886266985209238</v>
      </c>
      <c r="E165" s="22">
        <f>E161+E158+E143</f>
        <v>2.549387477097198</v>
      </c>
      <c r="F165" s="22">
        <f>F161+F158+F143</f>
        <v>3.092157790948535</v>
      </c>
      <c r="H165" s="22">
        <f>H161+H158+H143</f>
        <v>4.082547820610515</v>
      </c>
      <c r="I165" s="22">
        <f>I161+I158+I143</f>
        <v>4.808487763391555</v>
      </c>
      <c r="J165" s="22">
        <f>J161+J158+J143</f>
        <v>4.756911519488391</v>
      </c>
      <c r="K165" s="22">
        <f>K161+K158+K143</f>
        <v>4.186988231425853</v>
      </c>
      <c r="L165" s="22">
        <f>L161+L158+L143</f>
        <v>4.967441241409941</v>
      </c>
      <c r="M165" s="32">
        <f>SUM(C165:L165)</f>
        <v>36.13004190475214</v>
      </c>
      <c r="N165" s="27">
        <f>N170/M170*M165</f>
        <v>29.496008641315793</v>
      </c>
      <c r="O165" s="28">
        <f>N165/N200*100</f>
        <v>49.299763843002694</v>
      </c>
      <c r="P165" s="1" t="s">
        <v>67</v>
      </c>
    </row>
    <row r="166" spans="1:16" ht="12.75">
      <c r="A166" s="5" t="s">
        <v>64</v>
      </c>
      <c r="B166" s="21">
        <f>0.75*2.1*O92*24/1000*3413/1000000</f>
        <v>0.029214454857879525</v>
      </c>
      <c r="C166" s="22">
        <f>C118*B166</f>
        <v>0.8764336457363857</v>
      </c>
      <c r="D166" s="22">
        <f>D118*B166</f>
        <v>0.9056481005942653</v>
      </c>
      <c r="E166" s="22">
        <f>E118*B166</f>
        <v>0.8764336457363857</v>
      </c>
      <c r="F166" s="22">
        <f>F118*B166</f>
        <v>0.9056481005942653</v>
      </c>
      <c r="G166" s="88" t="s">
        <v>388</v>
      </c>
      <c r="H166" s="22">
        <f>H118*B166</f>
        <v>0.9056481005942653</v>
      </c>
      <c r="I166" s="22">
        <f>I118*B166</f>
        <v>0.8180047360206267</v>
      </c>
      <c r="J166" s="22">
        <f>J118*B166</f>
        <v>0.9056481005942653</v>
      </c>
      <c r="K166" s="22">
        <f>K118*B166</f>
        <v>0.8764336457363857</v>
      </c>
      <c r="L166" s="22">
        <f>L118*B166</f>
        <v>0.9056481005942653</v>
      </c>
      <c r="M166" s="32">
        <f>SUM(C166:F166)+SUM(H166:L166)</f>
        <v>7.97554617620111</v>
      </c>
      <c r="N166" s="27">
        <f>N170/M170*M166</f>
        <v>6.5111128172120765</v>
      </c>
      <c r="O166" s="34">
        <f>N166/N200*100</f>
        <v>10.882703763317854</v>
      </c>
      <c r="P166" s="1" t="s">
        <v>68</v>
      </c>
    </row>
    <row r="167" spans="1:16" ht="12.75">
      <c r="A167" s="5" t="s">
        <v>398</v>
      </c>
      <c r="C167" s="21">
        <f>C180/N180*M167</f>
        <v>0.013408479942424544</v>
      </c>
      <c r="D167" s="22">
        <f>D180/N180*M167</f>
        <v>0.039638430070812844</v>
      </c>
      <c r="E167" s="22">
        <f>E180/N180*M167</f>
        <v>0.06608860967576265</v>
      </c>
      <c r="F167" s="22">
        <f>F180/N180*M167</f>
        <v>0.09844797378073619</v>
      </c>
      <c r="H167" s="22">
        <f>H180/N180*M167</f>
        <v>0.11447836374348322</v>
      </c>
      <c r="I167" s="22">
        <f>I180/N180*M167</f>
        <v>0.10259721560417795</v>
      </c>
      <c r="J167" s="22">
        <f>J180/N180*M167</f>
        <v>0.08803172396662515</v>
      </c>
      <c r="K167" s="22">
        <f>K180/N180*M167</f>
        <v>0.04592233065883123</v>
      </c>
      <c r="L167" s="22">
        <f>L180/N180*M167</f>
        <v>0.024286872557146243</v>
      </c>
      <c r="M167" s="32">
        <f>11*E290*0.7/1000</f>
        <v>0.5929</v>
      </c>
      <c r="N167" s="27">
        <f>N170/M170*M167</f>
        <v>0.48403441018804727</v>
      </c>
      <c r="O167" s="34">
        <f>N167/N200*100</f>
        <v>0.8090173285592491</v>
      </c>
      <c r="P167" s="1" t="s">
        <v>69</v>
      </c>
    </row>
    <row r="168" spans="1:16" ht="12.75">
      <c r="A168" s="5" t="s">
        <v>407</v>
      </c>
      <c r="B168">
        <v>4.8</v>
      </c>
      <c r="C168" s="21">
        <f>-C167/B168</f>
        <v>-0.002793433321338447</v>
      </c>
      <c r="D168" s="22">
        <f>-D167/B168+C168</f>
        <v>-0.011051439586091123</v>
      </c>
      <c r="E168" s="22">
        <f>-E167/B168+D168</f>
        <v>-0.02481989993520834</v>
      </c>
      <c r="F168" s="22">
        <f>-F167/B168+E168</f>
        <v>-0.04532989447286172</v>
      </c>
      <c r="H168" s="22">
        <f>-H167/B168+F168</f>
        <v>-0.06917955358608739</v>
      </c>
      <c r="I168" s="22">
        <f>-I167/B168+H168</f>
        <v>-0.09055397350362446</v>
      </c>
      <c r="J168" s="22">
        <f>-J167/B168+I168</f>
        <v>-0.10889391599667136</v>
      </c>
      <c r="K168" s="22">
        <f>-K167/B168+J168</f>
        <v>-0.11846106821726121</v>
      </c>
      <c r="L168" s="22">
        <f>-L167/B168+K168</f>
        <v>-0.12352083333333334</v>
      </c>
      <c r="M168" s="32">
        <f>SUM(C168:L168)</f>
        <v>-0.5946040119524774</v>
      </c>
      <c r="N168" s="27">
        <f>N170/M170*M168</f>
        <v>-0.48542553924922244</v>
      </c>
      <c r="O168" s="34">
        <f>N168/N200*100</f>
        <v>-0.8113424680391381</v>
      </c>
      <c r="P168" s="1" t="s">
        <v>70</v>
      </c>
    </row>
    <row r="169" spans="1:16" ht="12.75">
      <c r="A169" s="5" t="s">
        <v>65</v>
      </c>
      <c r="C169" s="22">
        <f>C118*F70*O103*24*(E90-C181)/1000000</f>
        <v>0.5320274428943307</v>
      </c>
      <c r="D169" s="22">
        <f>D118*F70*O103*24*(E90-D181)/1000000</f>
        <v>1.2049181103062796</v>
      </c>
      <c r="E169" s="22">
        <f>E180*F70*O103*24/1000000</f>
        <v>1.6001544683121502</v>
      </c>
      <c r="F169" s="22">
        <f>F180*F70*O103*24/1000000</f>
        <v>2.383647740728547</v>
      </c>
      <c r="H169" s="22">
        <f>H180*F70*O103*24/1000000</f>
        <v>2.7717796783426496</v>
      </c>
      <c r="I169" s="22">
        <f>I180*F70*O103*24/1000000</f>
        <v>2.484110254260935</v>
      </c>
      <c r="J169" s="22">
        <f>J180*F70*O103*24/1000000</f>
        <v>2.131446812839788</v>
      </c>
      <c r="K169" s="22">
        <f>K118*F70*O103*24*(E90-K181)/1000000</f>
        <v>1.4747910981785852</v>
      </c>
      <c r="L169" s="22">
        <f>L118*F70*O103*24*(E90-L181)/1000000</f>
        <v>0.846006332768239</v>
      </c>
      <c r="M169" s="32">
        <f>SUM(C169:L169)</f>
        <v>15.428881938631504</v>
      </c>
      <c r="N169" s="27">
        <f>M169/M170*N170</f>
        <v>12.595901111530637</v>
      </c>
      <c r="O169" s="34">
        <f>N169/N200*100</f>
        <v>21.052846767832193</v>
      </c>
      <c r="P169" s="1" t="s">
        <v>66</v>
      </c>
    </row>
    <row r="170" spans="1:16" ht="12.75">
      <c r="A170" s="1" t="s">
        <v>295</v>
      </c>
      <c r="C170" s="22">
        <f>SUM(C165:C169)</f>
        <v>5.616569497111029</v>
      </c>
      <c r="D170" s="22">
        <f>SUM(D165:D169)</f>
        <v>5.627779899906191</v>
      </c>
      <c r="E170" s="22">
        <f>SUM(E165:E169)</f>
        <v>5.067244300886288</v>
      </c>
      <c r="F170" s="22">
        <f>SUM(F165:F169)</f>
        <v>6.434571711579221</v>
      </c>
      <c r="G170" s="22"/>
      <c r="H170" s="22">
        <f>SUM(H165:H169)</f>
        <v>7.8052744097048254</v>
      </c>
      <c r="I170" s="22">
        <f>SUM(I165:I169)</f>
        <v>8.12264599577367</v>
      </c>
      <c r="J170" s="22">
        <f>SUM(J165:J169)</f>
        <v>7.773144240892398</v>
      </c>
      <c r="K170" s="22">
        <f>SUM(K165:K169)</f>
        <v>6.465674237782394</v>
      </c>
      <c r="L170" s="22">
        <f>SUM(L165:L169)</f>
        <v>6.619861713996259</v>
      </c>
      <c r="M170" s="32">
        <f>SUM(C170:L170)</f>
        <v>59.532766007632276</v>
      </c>
      <c r="N170" s="27">
        <f>N201</f>
        <v>48.60163144099733</v>
      </c>
      <c r="O170" s="28">
        <f>N170/N200*100</f>
        <v>81.23298923467286</v>
      </c>
      <c r="P170" s="1" t="s">
        <v>399</v>
      </c>
    </row>
    <row r="171" spans="14:15" ht="12.75">
      <c r="N171" s="22"/>
      <c r="O171" s="28"/>
    </row>
    <row r="172" spans="6:8" ht="12.75">
      <c r="F172" s="1" t="s">
        <v>515</v>
      </c>
      <c r="G172" s="1"/>
      <c r="H172" s="1"/>
    </row>
    <row r="173" spans="3:14" ht="12.75">
      <c r="C173" s="15" t="str">
        <f>C117</f>
        <v>September</v>
      </c>
      <c r="D173" s="15" t="str">
        <f aca="true" t="shared" si="9" ref="D173:L173">D117</f>
        <v>October</v>
      </c>
      <c r="E173" s="15" t="str">
        <f t="shared" si="9"/>
        <v>November</v>
      </c>
      <c r="F173" s="15" t="str">
        <f t="shared" si="9"/>
        <v>December</v>
      </c>
      <c r="G173" s="15"/>
      <c r="H173" s="15" t="str">
        <f t="shared" si="9"/>
        <v>January</v>
      </c>
      <c r="I173" s="15" t="str">
        <f t="shared" si="9"/>
        <v>February</v>
      </c>
      <c r="J173" s="15" t="str">
        <f t="shared" si="9"/>
        <v>March</v>
      </c>
      <c r="K173" s="15" t="str">
        <f t="shared" si="9"/>
        <v>April</v>
      </c>
      <c r="L173" s="15" t="str">
        <f t="shared" si="9"/>
        <v>May</v>
      </c>
      <c r="M173" s="11"/>
      <c r="N173" s="15" t="s">
        <v>726</v>
      </c>
    </row>
    <row r="174" spans="1:14" ht="12.75">
      <c r="A174" t="s">
        <v>512</v>
      </c>
      <c r="C174">
        <v>88.3</v>
      </c>
      <c r="D174">
        <v>270.2</v>
      </c>
      <c r="E174">
        <v>442.8</v>
      </c>
      <c r="F174">
        <v>665.7</v>
      </c>
      <c r="H174">
        <v>777</v>
      </c>
      <c r="I174">
        <v>674.5</v>
      </c>
      <c r="J174">
        <v>576.1</v>
      </c>
      <c r="K174">
        <v>338.6</v>
      </c>
      <c r="L174">
        <v>143.6</v>
      </c>
      <c r="M174">
        <v>46.9</v>
      </c>
      <c r="N174" s="24">
        <f>SUM(C174:M174)</f>
        <v>4023.7</v>
      </c>
    </row>
    <row r="175" spans="1:14" ht="12.75">
      <c r="A175" t="s">
        <v>513</v>
      </c>
      <c r="C175">
        <v>105.9</v>
      </c>
      <c r="D175">
        <v>289</v>
      </c>
      <c r="E175">
        <v>447.8</v>
      </c>
      <c r="F175">
        <v>678.7</v>
      </c>
      <c r="H175">
        <v>790.4</v>
      </c>
      <c r="I175">
        <v>711.5</v>
      </c>
      <c r="J175">
        <v>607.4</v>
      </c>
      <c r="K175">
        <v>378.7</v>
      </c>
      <c r="L175">
        <v>193.3</v>
      </c>
      <c r="M175">
        <v>86.5</v>
      </c>
      <c r="N175" s="24">
        <f>SUM(C175:M175)</f>
        <v>4289.2</v>
      </c>
    </row>
    <row r="176" spans="1:14" ht="13.5" customHeight="1">
      <c r="A176" t="s">
        <v>514</v>
      </c>
      <c r="C176" s="23">
        <f>(C174+C175)*0.9</f>
        <v>174.78</v>
      </c>
      <c r="D176" s="23">
        <f>(D174+D175)*0.9</f>
        <v>503.28000000000003</v>
      </c>
      <c r="E176" s="23">
        <f>(E174+E175)*0.9</f>
        <v>801.5400000000001</v>
      </c>
      <c r="F176" s="23">
        <f>(F174+F175)*0.9</f>
        <v>1209.96</v>
      </c>
      <c r="H176" s="23">
        <f aca="true" t="shared" si="10" ref="H176:M176">(H174+H175)*0.9</f>
        <v>1410.66</v>
      </c>
      <c r="I176">
        <f t="shared" si="10"/>
        <v>1247.4</v>
      </c>
      <c r="J176" s="23">
        <f t="shared" si="10"/>
        <v>1065.15</v>
      </c>
      <c r="K176" s="23">
        <f t="shared" si="10"/>
        <v>645.5699999999999</v>
      </c>
      <c r="L176" s="23">
        <f t="shared" si="10"/>
        <v>303.21</v>
      </c>
      <c r="M176" s="23">
        <f t="shared" si="10"/>
        <v>120.06</v>
      </c>
      <c r="N176" s="24">
        <f>SUM(C176:M176)</f>
        <v>7481.610000000001</v>
      </c>
    </row>
    <row r="177" spans="1:14" ht="12.75">
      <c r="A177" s="4" t="s">
        <v>286</v>
      </c>
      <c r="C177" s="23">
        <f>M177*C176</f>
        <v>174.78</v>
      </c>
      <c r="D177" s="23">
        <f>M177*D176</f>
        <v>503.28000000000003</v>
      </c>
      <c r="E177" s="23">
        <f>M177*E176</f>
        <v>801.5400000000001</v>
      </c>
      <c r="F177" s="23">
        <f>M177*F176</f>
        <v>1209.96</v>
      </c>
      <c r="H177" s="23">
        <f>M177*H176</f>
        <v>1410.66</v>
      </c>
      <c r="I177">
        <f>M177*I176</f>
        <v>1247.4</v>
      </c>
      <c r="J177" s="23">
        <f>M177*J176</f>
        <v>1065.15</v>
      </c>
      <c r="K177" s="23">
        <f>M177*K176</f>
        <v>645.5699999999999</v>
      </c>
      <c r="L177" s="23">
        <f>M177*L176</f>
        <v>303.21</v>
      </c>
      <c r="M177">
        <v>1</v>
      </c>
      <c r="N177" s="24">
        <f>SUM(C177:L177)</f>
        <v>7361.55</v>
      </c>
    </row>
    <row r="178" spans="1:15" ht="12.75">
      <c r="A178" s="4" t="s">
        <v>287</v>
      </c>
      <c r="C178" s="23">
        <v>156.1</v>
      </c>
      <c r="D178" s="23">
        <v>472.9</v>
      </c>
      <c r="E178" s="23">
        <v>755.6</v>
      </c>
      <c r="F178" s="23">
        <v>1169.6</v>
      </c>
      <c r="H178" s="23">
        <v>1380.8</v>
      </c>
      <c r="I178" s="23">
        <v>1236.6</v>
      </c>
      <c r="J178" s="23">
        <v>1044.7</v>
      </c>
      <c r="K178" s="23">
        <v>522.8</v>
      </c>
      <c r="L178" s="23">
        <v>291.2</v>
      </c>
      <c r="M178" s="22"/>
      <c r="N178" s="24">
        <f>SUM(C178:L178)+122</f>
        <v>7152.3</v>
      </c>
      <c r="O178" s="24"/>
    </row>
    <row r="179" spans="1:15" ht="12.75">
      <c r="A179" t="s">
        <v>409</v>
      </c>
      <c r="B179">
        <f>68-64.4</f>
        <v>3.5999999999999943</v>
      </c>
      <c r="C179" s="23">
        <f>(B180*C119)+C177</f>
        <v>195.33639890364753</v>
      </c>
      <c r="D179" s="23">
        <f>D177+(B180*D119)</f>
        <v>552.6153573687541</v>
      </c>
      <c r="E179" s="23">
        <f>E177+(B180*E119)</f>
        <v>916.6558338604261</v>
      </c>
      <c r="F179" s="23">
        <f>F177+(B180*F119)</f>
        <v>1337.4096732026146</v>
      </c>
      <c r="G179" s="23"/>
      <c r="H179" s="23">
        <f>H177+(B180*H119)</f>
        <v>1538.1096732026147</v>
      </c>
      <c r="I179" s="23">
        <f>I177+(B180*I119)</f>
        <v>1362.5158338604263</v>
      </c>
      <c r="J179" s="23">
        <f>J177+(B180*J119)</f>
        <v>1180.2658338604263</v>
      </c>
      <c r="K179" s="23">
        <f>K177+(B180*K119)</f>
        <v>727.79559561459</v>
      </c>
      <c r="L179" s="23">
        <f>L177+(B180*L119)</f>
        <v>331.9889584651065</v>
      </c>
      <c r="N179" s="24">
        <f>SUM(C179:L179)</f>
        <v>8142.693158338605</v>
      </c>
      <c r="O179" t="s">
        <v>255</v>
      </c>
    </row>
    <row r="180" spans="1:17" ht="12.75">
      <c r="A180" s="1" t="s">
        <v>408</v>
      </c>
      <c r="B180" s="23">
        <f>O90-64.4</f>
        <v>4.111279780729504</v>
      </c>
      <c r="C180" s="28">
        <f>C178+(B180*C119)</f>
        <v>176.65639890364753</v>
      </c>
      <c r="D180" s="28">
        <f>D178+(B180*D119)</f>
        <v>522.235357368754</v>
      </c>
      <c r="E180" s="28">
        <f>E178+(B180*E119)</f>
        <v>870.7158338604261</v>
      </c>
      <c r="F180" s="28">
        <f>F178+(B180*F119)</f>
        <v>1297.0496732026145</v>
      </c>
      <c r="G180" s="28"/>
      <c r="H180" s="28">
        <f>H178+(B180*H119)</f>
        <v>1508.2496732026145</v>
      </c>
      <c r="I180" s="28">
        <f>I178+(B180*I119)</f>
        <v>1351.715833860426</v>
      </c>
      <c r="J180" s="28">
        <f>J178+(B180*J119)</f>
        <v>1159.8158338604262</v>
      </c>
      <c r="K180" s="28">
        <f>K178+(B180*K119)</f>
        <v>605.02559561459</v>
      </c>
      <c r="L180" s="28">
        <f>L178+(B180*L119)</f>
        <v>319.97895846510653</v>
      </c>
      <c r="M180" s="1"/>
      <c r="N180" s="25">
        <f>SUM(C180:L180)</f>
        <v>7811.443158338605</v>
      </c>
      <c r="O180" t="str">
        <f>O179</f>
        <v>conservative assumption!</v>
      </c>
      <c r="Q180" s="24"/>
    </row>
    <row r="181" spans="1:13" ht="12.75">
      <c r="A181" t="s">
        <v>706</v>
      </c>
      <c r="C181" s="22">
        <v>60.6</v>
      </c>
      <c r="D181">
        <v>49.1</v>
      </c>
      <c r="E181" s="23">
        <v>39.2</v>
      </c>
      <c r="F181" s="23">
        <v>31.5</v>
      </c>
      <c r="H181" s="23">
        <v>19.9</v>
      </c>
      <c r="I181" s="23">
        <v>20.7</v>
      </c>
      <c r="J181" s="23">
        <v>30.7</v>
      </c>
      <c r="K181">
        <v>43.5</v>
      </c>
      <c r="L181">
        <v>55.4</v>
      </c>
      <c r="M181" s="23">
        <v>0</v>
      </c>
    </row>
    <row r="182" spans="5:15" ht="12.75">
      <c r="E182" s="23"/>
      <c r="F182" s="23"/>
      <c r="H182" s="23"/>
      <c r="I182" s="23"/>
      <c r="J182" s="23"/>
      <c r="K182" s="23"/>
      <c r="L182" s="23"/>
      <c r="O182" s="13"/>
    </row>
    <row r="183" spans="6:16" ht="12.75">
      <c r="F183" s="1" t="s">
        <v>520</v>
      </c>
      <c r="G183" s="1"/>
      <c r="P183" s="13"/>
    </row>
    <row r="184" spans="1:16" ht="12.75">
      <c r="A184" t="s">
        <v>584</v>
      </c>
      <c r="C184">
        <v>62</v>
      </c>
      <c r="D184">
        <v>61</v>
      </c>
      <c r="E184">
        <v>60</v>
      </c>
      <c r="F184" s="4">
        <v>59</v>
      </c>
      <c r="G184" s="1"/>
      <c r="H184">
        <v>57</v>
      </c>
      <c r="I184">
        <v>56</v>
      </c>
      <c r="J184">
        <v>55</v>
      </c>
      <c r="K184">
        <v>56</v>
      </c>
      <c r="L184">
        <v>58</v>
      </c>
      <c r="P184" s="13"/>
    </row>
    <row r="185" spans="1:14" ht="12.75">
      <c r="A185" t="s">
        <v>516</v>
      </c>
      <c r="B185" t="s">
        <v>518</v>
      </c>
      <c r="C185" s="24">
        <f>O104*C179*24</f>
        <v>1206125.3432569816</v>
      </c>
      <c r="D185" s="24">
        <f>O104*D179*24</f>
        <v>3412182.2217283743</v>
      </c>
      <c r="E185" s="24">
        <f>O104*E179*24</f>
        <v>5659988.811449191</v>
      </c>
      <c r="F185" s="24">
        <f>O104*F179*24</f>
        <v>8257978.08406608</v>
      </c>
      <c r="G185" s="24"/>
      <c r="H185" s="24">
        <f>O104*H179*24</f>
        <v>9497221.552003054</v>
      </c>
      <c r="I185" s="24">
        <f>O104*I179*24</f>
        <v>8412998.739771957</v>
      </c>
      <c r="J185" s="24">
        <f>O104*J179*24</f>
        <v>7287676.756555647</v>
      </c>
      <c r="K185" s="24">
        <f>O104*K179*24</f>
        <v>4493851.210058194</v>
      </c>
      <c r="L185" s="24">
        <f>O104*L179*24</f>
        <v>2049901.0872201417</v>
      </c>
      <c r="M185" s="24"/>
      <c r="N185" s="24">
        <f aca="true" t="shared" si="11" ref="N185:N192">SUM(C185:L185)</f>
        <v>50277923.806109615</v>
      </c>
    </row>
    <row r="186" spans="1:15" ht="12.75">
      <c r="A186" t="s">
        <v>585</v>
      </c>
      <c r="B186" t="s">
        <v>517</v>
      </c>
      <c r="C186" s="24">
        <f>O105*24*C119*(C184-C181)</f>
        <v>5592.4145454545405</v>
      </c>
      <c r="D186" s="24">
        <f>O105*24*D119*(D184-D181)</f>
        <v>114085.25672727272</v>
      </c>
      <c r="E186" s="24">
        <f>O105*24*E119*(E184-E181)</f>
        <v>465288.89018181816</v>
      </c>
      <c r="F186" s="24">
        <f>O105*24*F119*(F184-F181)</f>
        <v>681076.2000000001</v>
      </c>
      <c r="G186" s="24"/>
      <c r="H186" s="24">
        <f>O105*24*H119*(H184-H181)</f>
        <v>918833.7098181819</v>
      </c>
      <c r="I186" s="24">
        <f>O105*24*I119*(I184-I181)</f>
        <v>789648.9338181819</v>
      </c>
      <c r="J186" s="24">
        <f>O105*24*J119*(J184-J181)</f>
        <v>543582.6938181819</v>
      </c>
      <c r="K186" s="24">
        <f>O105*24*K119*(K184-K181)</f>
        <v>199729.09090909094</v>
      </c>
      <c r="L186" s="24">
        <f>O105*24*L119*(L184-L181)</f>
        <v>14540.277818181827</v>
      </c>
      <c r="M186" s="24"/>
      <c r="N186" s="24">
        <f t="shared" si="11"/>
        <v>3732377.467636364</v>
      </c>
      <c r="O186" s="23"/>
    </row>
    <row r="187" spans="1:15" ht="12.75">
      <c r="A187" t="s">
        <v>621</v>
      </c>
      <c r="C187" s="24">
        <f>O108*24*C118*(B90-1.2-C184)</f>
        <v>523244.2851425938</v>
      </c>
      <c r="D187" s="24">
        <f>O108*24*D118*(B90-1.2-D184)</f>
        <v>659517.7967676431</v>
      </c>
      <c r="E187" s="24">
        <f>O108*24*E118*(B90-1.2-E184)</f>
        <v>753241.7731173604</v>
      </c>
      <c r="F187" s="24">
        <f>O108*24*F118*(B90-1.2-F184)</f>
        <v>897181.8676749018</v>
      </c>
      <c r="G187" s="24"/>
      <c r="H187" s="24">
        <f>O108*24*H118*(B90-1.2-H184)</f>
        <v>1134845.9385821607</v>
      </c>
      <c r="I187" s="24">
        <f>O108*24*I118*(B90-1.2-I184)</f>
        <v>1132354.2991291007</v>
      </c>
      <c r="J187" s="24">
        <f>O108*24*J118*(B90-1.2-J184)</f>
        <v>1372510.0094894196</v>
      </c>
      <c r="K187" s="24">
        <f>O108*24*K118*(B90-1.2-K184)</f>
        <v>1213236.7490668937</v>
      </c>
      <c r="L187" s="24">
        <f>O108*24*L118*(B90-1.2-L184)</f>
        <v>1016013.9031285313</v>
      </c>
      <c r="M187" s="24"/>
      <c r="N187" s="24">
        <f t="shared" si="11"/>
        <v>8702146.622098606</v>
      </c>
      <c r="O187" s="24"/>
    </row>
    <row r="188" spans="1:15" ht="12.75">
      <c r="A188" t="s">
        <v>586</v>
      </c>
      <c r="B188" t="s">
        <v>518</v>
      </c>
      <c r="C188" s="24">
        <f>C186+C187</f>
        <v>528836.6996880483</v>
      </c>
      <c r="D188" s="24">
        <f>D186+D187</f>
        <v>773603.0534949158</v>
      </c>
      <c r="E188" s="24">
        <f>E186+E187</f>
        <v>1218530.6632991787</v>
      </c>
      <c r="F188" s="24">
        <f>F186+F187</f>
        <v>1578258.0676749018</v>
      </c>
      <c r="G188" s="24"/>
      <c r="H188" s="24">
        <f>H186+H187</f>
        <v>2053679.6484003426</v>
      </c>
      <c r="I188" s="24">
        <f>I186+I187</f>
        <v>1922003.2329472825</v>
      </c>
      <c r="J188" s="24">
        <f>J186+J187</f>
        <v>1916092.7033076016</v>
      </c>
      <c r="K188" s="24">
        <f>K186+K187</f>
        <v>1412965.8399759848</v>
      </c>
      <c r="L188" s="24">
        <f>L186+L187</f>
        <v>1030554.1809467131</v>
      </c>
      <c r="M188" s="24"/>
      <c r="N188" s="24">
        <f t="shared" si="11"/>
        <v>12434524.08973497</v>
      </c>
      <c r="O188" s="13"/>
    </row>
    <row r="189" spans="1:15" ht="12.75">
      <c r="A189" s="4" t="s">
        <v>252</v>
      </c>
      <c r="B189" t="s">
        <v>518</v>
      </c>
      <c r="C189" s="21">
        <f>(C185+C188)/1000000</f>
        <v>1.7349620429450299</v>
      </c>
      <c r="D189" s="21">
        <f>(D185+D188)/1000000</f>
        <v>4.1857852752232905</v>
      </c>
      <c r="E189" s="21">
        <f>(E185+E188)/1000000</f>
        <v>6.878519474748369</v>
      </c>
      <c r="F189" s="21">
        <f>(F185+F188)/1000000</f>
        <v>9.836236151740982</v>
      </c>
      <c r="G189" s="21"/>
      <c r="H189" s="21">
        <f>(H185+H188)/1000000</f>
        <v>11.550901200403397</v>
      </c>
      <c r="I189" s="21">
        <f>(I185+I188)/1000000</f>
        <v>10.335001972719239</v>
      </c>
      <c r="J189" s="21">
        <f>(J185+J188)/1000000</f>
        <v>9.20376945986325</v>
      </c>
      <c r="K189" s="21">
        <f>(K185+K188)/1000000</f>
        <v>5.906817050034179</v>
      </c>
      <c r="L189" s="21">
        <f>(L185+L188)/1000000</f>
        <v>3.080455268166855</v>
      </c>
      <c r="M189" s="21"/>
      <c r="N189" s="32">
        <f t="shared" si="11"/>
        <v>62.71244789584459</v>
      </c>
      <c r="O189" s="23"/>
    </row>
    <row r="190" spans="1:15" ht="12.75">
      <c r="A190" s="4" t="s">
        <v>253</v>
      </c>
      <c r="B190" t="s">
        <v>518</v>
      </c>
      <c r="C190" s="21">
        <f>IF(C170&gt;C189,C189,C170)</f>
        <v>1.7349620429450299</v>
      </c>
      <c r="D190" s="21">
        <f>IF(D170&gt;D189,D189,D170)</f>
        <v>4.1857852752232905</v>
      </c>
      <c r="E190" s="21">
        <f>IF(E170&gt;E189,E189,E170)</f>
        <v>5.067244300886288</v>
      </c>
      <c r="F190" s="21">
        <f>IF(F170&gt;F189,F189,F170)</f>
        <v>6.434571711579221</v>
      </c>
      <c r="G190" s="21"/>
      <c r="H190" s="21">
        <f>IF(H170&gt;H189,H189,H170)</f>
        <v>7.8052744097048254</v>
      </c>
      <c r="I190" s="21">
        <f>IF(I170&gt;I189,I189,I170)</f>
        <v>8.12264599577367</v>
      </c>
      <c r="J190" s="21">
        <f>IF(J170&gt;J189,J189,J170)</f>
        <v>7.773144240892398</v>
      </c>
      <c r="K190" s="21">
        <f>IF(K170&gt;K189,K189,K170)</f>
        <v>5.906817050034179</v>
      </c>
      <c r="L190" s="21">
        <f>IF(L170&gt;L189,L189,L170)</f>
        <v>3.080455268166855</v>
      </c>
      <c r="M190" s="21"/>
      <c r="N190" s="32">
        <f t="shared" si="11"/>
        <v>50.11090029520576</v>
      </c>
      <c r="O190" s="4"/>
    </row>
    <row r="191" spans="1:15" ht="12.75">
      <c r="A191" s="4" t="s">
        <v>361</v>
      </c>
      <c r="B191" t="s">
        <v>518</v>
      </c>
      <c r="C191" s="23">
        <f>C190/C118/24*1000000</f>
        <v>2409.669504090319</v>
      </c>
      <c r="D191" s="23">
        <f>D190/D118/24*1000000</f>
        <v>5626.055477450659</v>
      </c>
      <c r="E191" s="23">
        <f>E190/E118/24*1000000</f>
        <v>7037.839306786511</v>
      </c>
      <c r="F191" s="23">
        <f>F190/F118/24*1000000</f>
        <v>8648.617891907556</v>
      </c>
      <c r="G191" s="23"/>
      <c r="H191" s="23">
        <f>H190/H118/24*1000000</f>
        <v>10490.960228097883</v>
      </c>
      <c r="I191" s="37">
        <f>I190/I118/24*1000000</f>
        <v>12087.270827044153</v>
      </c>
      <c r="J191" s="37">
        <f>J190/J118/24*1000000</f>
        <v>10447.774517328493</v>
      </c>
      <c r="K191" s="23">
        <f>K190/K118/24*1000000</f>
        <v>8203.912569491915</v>
      </c>
      <c r="L191" s="23">
        <f>L190/L118/24*1000000</f>
        <v>4140.3968658156655</v>
      </c>
      <c r="M191" s="23"/>
      <c r="N191" s="37">
        <f>SUM(C191:L191)/9</f>
        <v>7676.944132001461</v>
      </c>
      <c r="O191" s="23"/>
    </row>
    <row r="192" spans="1:14" ht="12.75">
      <c r="A192" s="4" t="s">
        <v>51</v>
      </c>
      <c r="B192" t="s">
        <v>518</v>
      </c>
      <c r="C192">
        <f>C189-C190</f>
        <v>0</v>
      </c>
      <c r="D192">
        <f>D189-D190</f>
        <v>0</v>
      </c>
      <c r="E192" s="21">
        <f>E189-E190</f>
        <v>1.8112751738620814</v>
      </c>
      <c r="F192" s="21">
        <f>F189-F190</f>
        <v>3.4016644401617606</v>
      </c>
      <c r="G192" s="21"/>
      <c r="H192" s="21">
        <f>H189-H190</f>
        <v>3.745626790698571</v>
      </c>
      <c r="I192" s="21">
        <f>I189-I190</f>
        <v>2.2123559769455685</v>
      </c>
      <c r="J192" s="21">
        <f>J189-J190</f>
        <v>1.4306252189708513</v>
      </c>
      <c r="K192">
        <f>K189-K190</f>
        <v>0</v>
      </c>
      <c r="L192">
        <f>L189-L190</f>
        <v>0</v>
      </c>
      <c r="N192" s="32">
        <f t="shared" si="11"/>
        <v>12.601547600638833</v>
      </c>
    </row>
    <row r="193" spans="1:16" ht="12.75">
      <c r="A193" s="4" t="s">
        <v>52</v>
      </c>
      <c r="B193" t="s">
        <v>518</v>
      </c>
      <c r="C193">
        <f>C192/C118/24*1000000</f>
        <v>0</v>
      </c>
      <c r="D193">
        <f>D192/D118/24*1000000</f>
        <v>0</v>
      </c>
      <c r="E193" s="23">
        <f>E192/E118/24*1000000</f>
        <v>2515.659963697335</v>
      </c>
      <c r="F193" s="23">
        <f>F192/F118/24*1000000</f>
        <v>4572.129623873334</v>
      </c>
      <c r="G193" s="23"/>
      <c r="H193" s="37">
        <f>H192/H118/24*1000000</f>
        <v>5034.444611153994</v>
      </c>
      <c r="I193" s="23">
        <f>I192/I118/24*1000000</f>
        <v>3292.1963942642387</v>
      </c>
      <c r="J193" s="23">
        <f>J192/J118/24*1000000</f>
        <v>1922.8833588317893</v>
      </c>
      <c r="K193">
        <f>K192/K118/24*1000000</f>
        <v>0</v>
      </c>
      <c r="L193">
        <f>L192/L118/24*1000000</f>
        <v>0</v>
      </c>
      <c r="O193" s="23"/>
      <c r="P193" s="2"/>
    </row>
    <row r="194" spans="1:14" ht="12.75">
      <c r="A194" s="4" t="s">
        <v>53</v>
      </c>
      <c r="C194">
        <f>C193*0.293</f>
        <v>0</v>
      </c>
      <c r="D194">
        <f>D193*0.293</f>
        <v>0</v>
      </c>
      <c r="E194" s="23">
        <f>E193*0.293</f>
        <v>737.0883693633191</v>
      </c>
      <c r="F194" s="23">
        <f>F193*0.293</f>
        <v>1339.6339797948867</v>
      </c>
      <c r="G194" s="23"/>
      <c r="H194" s="23">
        <f>H193*0.293</f>
        <v>1475.09227106812</v>
      </c>
      <c r="I194" s="23">
        <f>I193*0.293</f>
        <v>964.6135435194219</v>
      </c>
      <c r="J194" s="23">
        <f>J193*0.293</f>
        <v>563.4048241377143</v>
      </c>
      <c r="K194">
        <f>K193*0.293</f>
        <v>0</v>
      </c>
      <c r="L194">
        <f>L193*0.293</f>
        <v>0</v>
      </c>
      <c r="N194" s="33">
        <f>SUM(E194:J194)/5</f>
        <v>1015.9665975766924</v>
      </c>
    </row>
    <row r="195" spans="1:16" ht="12.75">
      <c r="A195" t="s">
        <v>516</v>
      </c>
      <c r="B195" t="s">
        <v>517</v>
      </c>
      <c r="C195" s="24">
        <f>O104*C180*24</f>
        <v>1090783.699106196</v>
      </c>
      <c r="D195" s="24">
        <f>O104*D180*24</f>
        <v>3224597.6848278986</v>
      </c>
      <c r="E195" s="24">
        <f>O104*E180*24</f>
        <v>5376327.401797848</v>
      </c>
      <c r="F195" s="24">
        <f>O104*F180*24</f>
        <v>8008770.977110743</v>
      </c>
      <c r="G195" s="24"/>
      <c r="H195" s="24">
        <f>O104*H180*24</f>
        <v>9312847.810335899</v>
      </c>
      <c r="I195" s="24">
        <f>O104*I180*24</f>
        <v>8346312.992618397</v>
      </c>
      <c r="J195" s="24">
        <f>O104*J180*24</f>
        <v>7161406.059399138</v>
      </c>
      <c r="K195" s="24">
        <f>O104*K180*24</f>
        <v>3735794.8046838935</v>
      </c>
      <c r="L195" s="24">
        <f>O104*L180*24</f>
        <v>1975744.0665428967</v>
      </c>
      <c r="M195" s="24"/>
      <c r="N195" s="24">
        <f aca="true" t="shared" si="12" ref="N195:N202">SUM(C195:L195)</f>
        <v>48232585.4964229</v>
      </c>
      <c r="O195" s="28">
        <f>N195/N200/10000</f>
        <v>80.61616415382946</v>
      </c>
      <c r="P195" s="1" t="s">
        <v>50</v>
      </c>
    </row>
    <row r="196" spans="1:15" ht="12.75">
      <c r="A196" t="s">
        <v>585</v>
      </c>
      <c r="B196" t="s">
        <v>517</v>
      </c>
      <c r="C196" s="24">
        <f>O105*24*C119*(C184-C181)</f>
        <v>5592.4145454545405</v>
      </c>
      <c r="D196" s="24">
        <f>O105*24*D119*(D184-D181)</f>
        <v>114085.25672727272</v>
      </c>
      <c r="E196" s="24">
        <f>O105*24*E119*(E184-E181)</f>
        <v>465288.89018181816</v>
      </c>
      <c r="F196" s="24">
        <f>O105*24*F119*(F184-F181)</f>
        <v>681076.2000000001</v>
      </c>
      <c r="G196" s="24"/>
      <c r="H196" s="24">
        <f>O105*24*H119*(H184-H181)</f>
        <v>918833.7098181819</v>
      </c>
      <c r="I196" s="24">
        <f>O105*24*I119*(I184-I181)</f>
        <v>789648.9338181819</v>
      </c>
      <c r="J196" s="24">
        <f>O105*24*J119*(J184-J181)</f>
        <v>543582.6938181819</v>
      </c>
      <c r="K196" s="24">
        <f>O105*24*K119*(K184-K181)</f>
        <v>199729.09090909094</v>
      </c>
      <c r="L196" s="24">
        <f>O105*24*L119*(L184-L181)</f>
        <v>14540.277818181827</v>
      </c>
      <c r="M196" s="24"/>
      <c r="N196" s="24">
        <f t="shared" si="12"/>
        <v>3732377.467636364</v>
      </c>
      <c r="O196" s="1"/>
    </row>
    <row r="197" spans="1:15" ht="12.75">
      <c r="A197" t="s">
        <v>621</v>
      </c>
      <c r="B197" t="s">
        <v>517</v>
      </c>
      <c r="C197" s="24">
        <f>O108*24*C118*(B90-2-C184)</f>
        <v>431245.28995268745</v>
      </c>
      <c r="D197" s="24">
        <f>O108*24*D118*(B90-2-D184)</f>
        <v>564452.1684047398</v>
      </c>
      <c r="E197" s="24">
        <f>O108*24*E118*(B90-2-E184)</f>
        <v>661242.7779274541</v>
      </c>
      <c r="F197" s="24">
        <f>O108*24*F118*(B90-2-F184)</f>
        <v>802116.2393119987</v>
      </c>
      <c r="G197" s="24"/>
      <c r="H197" s="24">
        <f>O108*24*H118*(B90-2-H184)</f>
        <v>1039780.3102192575</v>
      </c>
      <c r="I197" s="24">
        <f>O108*24*I118*(B90-2-I184)</f>
        <v>1046488.5702851882</v>
      </c>
      <c r="J197" s="24">
        <f>O108*24*J118*(B90-2-J184)</f>
        <v>1277444.3811265165</v>
      </c>
      <c r="K197" s="24">
        <f>O108*24*K118*(B90-2-K184)</f>
        <v>1121237.7538769874</v>
      </c>
      <c r="L197" s="24">
        <f>O108*24*L118*(B90-2-L184)</f>
        <v>920948.2747656282</v>
      </c>
      <c r="M197" s="24"/>
      <c r="N197" s="24">
        <f t="shared" si="12"/>
        <v>7864955.765870458</v>
      </c>
      <c r="O197" s="1"/>
    </row>
    <row r="198" spans="1:16" ht="12.75">
      <c r="A198" t="s">
        <v>562</v>
      </c>
      <c r="B198" t="s">
        <v>517</v>
      </c>
      <c r="C198" s="24">
        <f>C196+C197</f>
        <v>436837.704498142</v>
      </c>
      <c r="D198" s="24">
        <f>D196+D197</f>
        <v>678537.4251320126</v>
      </c>
      <c r="E198" s="24">
        <f>E196+E197</f>
        <v>1126531.6681092721</v>
      </c>
      <c r="F198" s="24">
        <f>F196+F197</f>
        <v>1483192.439311999</v>
      </c>
      <c r="G198" s="24"/>
      <c r="H198" s="24">
        <f>H196+H197</f>
        <v>1958614.0200374394</v>
      </c>
      <c r="I198" s="24">
        <f>I196+I197</f>
        <v>1836137.50410337</v>
      </c>
      <c r="J198" s="24">
        <f>J196+J197</f>
        <v>1821027.0749446983</v>
      </c>
      <c r="K198" s="24">
        <f>K196+K197</f>
        <v>1320966.8447860782</v>
      </c>
      <c r="L198" s="24">
        <f>L196+L197</f>
        <v>935488.55258381</v>
      </c>
      <c r="M198" s="24"/>
      <c r="N198" s="24">
        <f t="shared" si="12"/>
        <v>11597333.233506821</v>
      </c>
      <c r="O198" s="28">
        <f>N198/N200/10000</f>
        <v>19.38383584617054</v>
      </c>
      <c r="P198" s="1" t="s">
        <v>49</v>
      </c>
    </row>
    <row r="199" spans="3:16" ht="12.75">
      <c r="C199" s="24"/>
      <c r="D199" s="24"/>
      <c r="E199" s="24"/>
      <c r="F199" s="24"/>
      <c r="G199" s="24"/>
      <c r="H199" s="24"/>
      <c r="I199" s="24"/>
      <c r="J199" s="24"/>
      <c r="K199" s="24"/>
      <c r="L199" s="24"/>
      <c r="M199" s="24"/>
      <c r="N199" s="24"/>
      <c r="O199" s="28"/>
      <c r="P199" s="1"/>
    </row>
    <row r="200" spans="1:15" ht="12.75">
      <c r="A200" s="1" t="s">
        <v>696</v>
      </c>
      <c r="B200" t="s">
        <v>517</v>
      </c>
      <c r="C200" s="41">
        <f>SUM(C195:C197)/1000000</f>
        <v>1.5276214036043378</v>
      </c>
      <c r="D200" s="41">
        <f>SUM(D195:D197)/1000000</f>
        <v>3.903135109959911</v>
      </c>
      <c r="E200" s="41">
        <f>SUM(E195:E197)/1000000</f>
        <v>6.502859069907119</v>
      </c>
      <c r="F200" s="41">
        <f>SUM(F195:F197)/1000000</f>
        <v>9.491963416422742</v>
      </c>
      <c r="G200" s="41"/>
      <c r="H200" s="42">
        <f>SUM(H195:H197)/1000000</f>
        <v>11.271461830373338</v>
      </c>
      <c r="I200" s="41">
        <f>SUM(I195:I197)/1000000</f>
        <v>10.182450496721767</v>
      </c>
      <c r="J200" s="41">
        <f>SUM(J195:J197)/1000000</f>
        <v>8.982433134343836</v>
      </c>
      <c r="K200" s="41">
        <f>SUM(K195:K197)/1000000</f>
        <v>5.056761649469972</v>
      </c>
      <c r="L200" s="41">
        <f>SUM(L195:L197)/1000000</f>
        <v>2.9112326191267064</v>
      </c>
      <c r="N200" s="27">
        <f t="shared" si="12"/>
        <v>59.82991872992972</v>
      </c>
      <c r="O200" s="1" t="s">
        <v>256</v>
      </c>
    </row>
    <row r="201" spans="1:16" ht="12.75">
      <c r="A201" s="1" t="s">
        <v>785</v>
      </c>
      <c r="B201" t="s">
        <v>517</v>
      </c>
      <c r="C201" s="22">
        <f>IF(C170&gt;C200,C200,C170)</f>
        <v>1.5276214036043378</v>
      </c>
      <c r="D201" s="22">
        <f>IF(D170&gt;D200,D200,D170)</f>
        <v>3.903135109959911</v>
      </c>
      <c r="E201" s="22">
        <f>IF(E170&gt;E200,E200,E170)</f>
        <v>5.067244300886288</v>
      </c>
      <c r="F201" s="22">
        <f>IF(F170&gt;F200,F200,F170)</f>
        <v>6.434571711579221</v>
      </c>
      <c r="G201" s="22"/>
      <c r="H201" s="22">
        <f>IF(H170&gt;H200,H200,H170)</f>
        <v>7.8052744097048254</v>
      </c>
      <c r="I201" s="27">
        <f>IF(I170&gt;I200,I200,I170)</f>
        <v>8.12264599577367</v>
      </c>
      <c r="J201" s="32">
        <f>IF(J170&gt;J200,J200,J170)</f>
        <v>7.773144240892398</v>
      </c>
      <c r="K201" s="22">
        <f>IF(K170&gt;K200,K200,K170)</f>
        <v>5.056761649469972</v>
      </c>
      <c r="L201" s="22">
        <f>IF(L170&gt;L200,L200,L170)</f>
        <v>2.9112326191267064</v>
      </c>
      <c r="N201" s="27">
        <f>SUM(C201:L201)</f>
        <v>48.60163144099733</v>
      </c>
      <c r="O201" s="28">
        <f>N201/N200*100</f>
        <v>81.23298923467286</v>
      </c>
      <c r="P201" s="1" t="s">
        <v>43</v>
      </c>
    </row>
    <row r="202" spans="1:16" ht="12.75">
      <c r="A202" s="1" t="s">
        <v>296</v>
      </c>
      <c r="C202">
        <f>C200-C201</f>
        <v>0</v>
      </c>
      <c r="D202" s="24">
        <f>D200-D201</f>
        <v>0</v>
      </c>
      <c r="E202" s="22">
        <f>E200-E201</f>
        <v>1.4356147690208312</v>
      </c>
      <c r="F202" s="22">
        <f>F200-F201</f>
        <v>3.0573917048435204</v>
      </c>
      <c r="G202" s="22"/>
      <c r="H202" s="27">
        <f>H200-H201</f>
        <v>3.466187420668513</v>
      </c>
      <c r="I202" s="22">
        <f>I200-I201</f>
        <v>2.059804500948097</v>
      </c>
      <c r="J202" s="22">
        <f>J200-J201</f>
        <v>1.209288893451438</v>
      </c>
      <c r="K202" s="22">
        <f>K200-K201</f>
        <v>0</v>
      </c>
      <c r="L202" s="24">
        <f>L200-L201</f>
        <v>0</v>
      </c>
      <c r="N202" s="27">
        <f t="shared" si="12"/>
        <v>11.2282872889324</v>
      </c>
      <c r="O202" s="28">
        <f>N202/N200*100</f>
        <v>18.767010765327154</v>
      </c>
      <c r="P202" s="1" t="s">
        <v>791</v>
      </c>
    </row>
    <row r="203" spans="1:15" ht="12.75">
      <c r="A203" s="1" t="s">
        <v>210</v>
      </c>
      <c r="H203" s="27">
        <f>H202*1000000/3413/H119/24</f>
        <v>1.36503195430364</v>
      </c>
      <c r="O203" t="s">
        <v>234</v>
      </c>
    </row>
    <row r="204" spans="1:15" ht="12.75">
      <c r="A204" s="1" t="s">
        <v>211</v>
      </c>
      <c r="C204">
        <f>C202*1000000/C118/24</f>
        <v>0</v>
      </c>
      <c r="D204" s="24">
        <f>D202*1000000/D118/24</f>
        <v>0</v>
      </c>
      <c r="E204" s="24">
        <f>E202*1000000/E118/24</f>
        <v>1993.909401417821</v>
      </c>
      <c r="F204" s="24">
        <f>F202*1000000/F118/24</f>
        <v>4109.397452746667</v>
      </c>
      <c r="H204" s="25">
        <f>H202*1000000/H118/24</f>
        <v>4658.854060038324</v>
      </c>
      <c r="I204" s="24">
        <f>I202*1000000/I118/24</f>
        <v>3065.185269268001</v>
      </c>
      <c r="J204" s="24">
        <f>J202*1000000/J118/24</f>
        <v>1625.3882976497823</v>
      </c>
      <c r="K204" s="24">
        <f>K202*1000000/K118/24</f>
        <v>0</v>
      </c>
      <c r="L204" s="24">
        <f>L202*1000000/L118/24</f>
        <v>0</v>
      </c>
      <c r="O204" t="s">
        <v>187</v>
      </c>
    </row>
    <row r="205" spans="1:17" ht="12.75">
      <c r="A205" s="1" t="s">
        <v>331</v>
      </c>
      <c r="C205">
        <f>C202*1000/6.3/C118*7*0.94</f>
        <v>0</v>
      </c>
      <c r="D205" s="24">
        <f>D202*1000/6.3/D118*7*0.94</f>
        <v>0</v>
      </c>
      <c r="E205" s="23">
        <f>E202*1000/6.3/E118*7*0.94</f>
        <v>49.98066232887338</v>
      </c>
      <c r="F205" s="23">
        <f>F202*1000/6.3/F118*7*0.94</f>
        <v>103.0088961488498</v>
      </c>
      <c r="H205" s="28">
        <f>H202*1000/6.3/H118*7*0.94</f>
        <v>116.78194177162733</v>
      </c>
      <c r="I205" s="23">
        <f>I202*1000/6.3/I118*7*0.94</f>
        <v>76.83397741631791</v>
      </c>
      <c r="J205" s="23">
        <f>J202*1000/6.3/J118*7*0.94</f>
        <v>40.74306666108787</v>
      </c>
      <c r="K205" s="24">
        <f>K202*1000/6.3/K118*7*0.94</f>
        <v>0</v>
      </c>
      <c r="L205" s="24">
        <f>L202*1000/6.3/L118*7*0.94</f>
        <v>0</v>
      </c>
      <c r="N205" s="25">
        <f>N202*1000/6.3*0.94</f>
        <v>1675.3317542216596</v>
      </c>
      <c r="O205" s="1" t="s">
        <v>186</v>
      </c>
      <c r="P205" s="22">
        <f>N205/3500</f>
        <v>0.47866621549190275</v>
      </c>
      <c r="Q205" t="s">
        <v>185</v>
      </c>
    </row>
    <row r="206" spans="1:17" ht="12.75">
      <c r="A206" s="1" t="s">
        <v>332</v>
      </c>
      <c r="C206">
        <f>C205/0.72</f>
        <v>0</v>
      </c>
      <c r="D206">
        <f>D205/0.72</f>
        <v>0</v>
      </c>
      <c r="E206" s="23">
        <f>E205/0.72</f>
        <v>69.4175865678797</v>
      </c>
      <c r="F206" s="23">
        <f>F205/0.72</f>
        <v>143.06791131784695</v>
      </c>
      <c r="G206" s="23"/>
      <c r="H206" s="28">
        <f>H205/0.72</f>
        <v>162.19714134948242</v>
      </c>
      <c r="I206" s="23">
        <f>I205/0.72</f>
        <v>106.71385752266376</v>
      </c>
      <c r="J206" s="23">
        <f>J205/0.72</f>
        <v>56.58759258484427</v>
      </c>
      <c r="K206">
        <f>K205/0.72</f>
        <v>0</v>
      </c>
      <c r="L206">
        <f>L205/0.72</f>
        <v>0</v>
      </c>
      <c r="N206" s="25">
        <f>N205/0.72</f>
        <v>2326.849658641194</v>
      </c>
      <c r="O206" s="1" t="str">
        <f>O205</f>
        <v>lb/yr    or</v>
      </c>
      <c r="P206" s="22">
        <f>N206/3500</f>
        <v>0.6648141881831983</v>
      </c>
      <c r="Q206" t="str">
        <f>Q205</f>
        <v>cords</v>
      </c>
    </row>
    <row r="207" spans="1:14" ht="12.75">
      <c r="A207" s="1"/>
      <c r="N207" s="1"/>
    </row>
    <row r="208" spans="2:14" ht="12.75">
      <c r="B208" s="1" t="s">
        <v>521</v>
      </c>
      <c r="I208" s="1" t="s">
        <v>576</v>
      </c>
      <c r="N208" s="1" t="s">
        <v>577</v>
      </c>
    </row>
    <row r="209" spans="3:13" ht="12.75">
      <c r="C209" t="s">
        <v>707</v>
      </c>
      <c r="H209" s="24"/>
      <c r="I209" s="64">
        <f>O112</f>
        <v>20929.90120994417</v>
      </c>
      <c r="J209" t="s">
        <v>578</v>
      </c>
      <c r="K209" s="22">
        <f>O112/3413</f>
        <v>6.132405862860876</v>
      </c>
      <c r="L209" t="s">
        <v>162</v>
      </c>
      <c r="M209" s="47" t="s">
        <v>309</v>
      </c>
    </row>
    <row r="210" spans="1:9" ht="12.75">
      <c r="A210" s="1"/>
      <c r="I210" s="1"/>
    </row>
    <row r="211" spans="1:16" ht="12.75">
      <c r="A211" s="24"/>
      <c r="B211" t="s">
        <v>453</v>
      </c>
      <c r="G211" s="23">
        <f>100*K211/4.059</f>
        <v>50.36056387337502</v>
      </c>
      <c r="H211" t="s">
        <v>607</v>
      </c>
      <c r="I211" s="63">
        <f>K211*3413</f>
        <v>6976.6337366480575</v>
      </c>
      <c r="J211" t="str">
        <f>J209</f>
        <v>Btu/hr net</v>
      </c>
      <c r="K211" s="22">
        <f>K209/3</f>
        <v>2.0441352876202923</v>
      </c>
      <c r="L211" t="str">
        <f>L209</f>
        <v>kWh net</v>
      </c>
      <c r="N211" s="11" t="s">
        <v>723</v>
      </c>
      <c r="O211" s="84">
        <f>(0)*N202*1000000/3413*0.199/0.99</f>
        <v>0</v>
      </c>
      <c r="P211" t="s">
        <v>274</v>
      </c>
    </row>
    <row r="212" spans="2:16" ht="12.75">
      <c r="B212" t="s">
        <v>656</v>
      </c>
      <c r="C212" s="10"/>
      <c r="G212" s="23">
        <f>100*I212/33110</f>
        <v>42.14215485743315</v>
      </c>
      <c r="H212" t="s">
        <v>607</v>
      </c>
      <c r="I212" s="63">
        <f>K212*3413</f>
        <v>13953.267473296115</v>
      </c>
      <c r="J212" t="str">
        <f>J209</f>
        <v>Btu/hr net</v>
      </c>
      <c r="K212" s="22">
        <f>K211*2</f>
        <v>4.088270575240585</v>
      </c>
      <c r="L212" s="4" t="str">
        <f>L209</f>
        <v>kWh net</v>
      </c>
      <c r="N212" s="11" t="s">
        <v>724</v>
      </c>
      <c r="O212" s="38">
        <f>(0.06)*N202*1000000/21671*0.65/(0.77)</f>
        <v>26.2426957726355</v>
      </c>
      <c r="P212" t="s">
        <v>212</v>
      </c>
    </row>
    <row r="213" spans="14:16" ht="12.75">
      <c r="N213" s="11" t="s">
        <v>725</v>
      </c>
      <c r="O213" s="39">
        <f>(0.94)*N202*280/22/0.72</f>
        <v>186.57103626559388</v>
      </c>
      <c r="P213" t="s">
        <v>257</v>
      </c>
    </row>
    <row r="214" spans="3:16" ht="12.75">
      <c r="C214" t="s">
        <v>477</v>
      </c>
      <c r="L214" s="29" t="s">
        <v>310</v>
      </c>
      <c r="N214" s="9"/>
      <c r="O214" s="35">
        <f>SUM(O211:O213)</f>
        <v>212.81373203822938</v>
      </c>
      <c r="P214" t="s">
        <v>157</v>
      </c>
    </row>
    <row r="215" spans="11:12" ht="12.75">
      <c r="K215" s="1"/>
      <c r="L215" s="1" t="s">
        <v>312</v>
      </c>
    </row>
    <row r="216" spans="11:15" ht="12.75">
      <c r="K216" s="1"/>
      <c r="L216" s="1" t="s">
        <v>311</v>
      </c>
      <c r="O216" s="1"/>
    </row>
    <row r="217" spans="6:15" ht="12.75">
      <c r="F217" s="1" t="s">
        <v>600</v>
      </c>
      <c r="G217" s="1"/>
      <c r="O217" s="1"/>
    </row>
    <row r="218" spans="6:9" ht="12.75">
      <c r="F218" t="s">
        <v>46</v>
      </c>
      <c r="H218" s="23"/>
      <c r="I218" s="19"/>
    </row>
    <row r="219" spans="3:14" ht="12.75">
      <c r="C219" t="s">
        <v>251</v>
      </c>
      <c r="M219" s="21">
        <f>I165/I118*1.75</f>
        <v>0.3005304852119722</v>
      </c>
      <c r="N219" t="s">
        <v>639</v>
      </c>
    </row>
    <row r="220" spans="3:14" ht="12.75">
      <c r="C220" t="s">
        <v>215</v>
      </c>
      <c r="I220" s="21">
        <f>(I200-(I166+I143))/I118</f>
        <v>0.3269473043637684</v>
      </c>
      <c r="J220" t="s">
        <v>47</v>
      </c>
      <c r="K220" s="48" t="s">
        <v>216</v>
      </c>
      <c r="L220" s="11"/>
      <c r="M220" s="21">
        <f>I220*8/24</f>
        <v>0.1089824347879228</v>
      </c>
      <c r="N220" t="s">
        <v>639</v>
      </c>
    </row>
    <row r="221" spans="3:14" ht="12.75">
      <c r="C221" t="s">
        <v>335</v>
      </c>
      <c r="M221" s="21">
        <f>(M219-M220)</f>
        <v>0.19154805042404938</v>
      </c>
      <c r="N221" t="s">
        <v>639</v>
      </c>
    </row>
    <row r="222" spans="3:14" ht="12.75">
      <c r="C222" t="s">
        <v>365</v>
      </c>
      <c r="M222" s="21">
        <f>26.44*59.76*G223*0.75/1000000*G223</f>
        <v>0.03506962341888001</v>
      </c>
      <c r="N222" t="s">
        <v>639</v>
      </c>
    </row>
    <row r="223" spans="3:14" ht="12.75">
      <c r="C223" t="s">
        <v>475</v>
      </c>
      <c r="G223" s="23">
        <v>5.44</v>
      </c>
      <c r="H223" t="s">
        <v>45</v>
      </c>
      <c r="M223" s="55">
        <f>(M221-M222)/28/G223*1000000</f>
        <v>1027.300597460408</v>
      </c>
      <c r="N223" t="s">
        <v>273</v>
      </c>
    </row>
    <row r="224" spans="3:14" ht="12.75">
      <c r="C224" t="s">
        <v>363</v>
      </c>
      <c r="M224" s="24">
        <f>533*1.05*0.8</f>
        <v>447.72</v>
      </c>
      <c r="N224" t="s">
        <v>273</v>
      </c>
    </row>
    <row r="225" spans="3:13" ht="12.75">
      <c r="C225" t="s">
        <v>631</v>
      </c>
      <c r="M225">
        <v>385</v>
      </c>
    </row>
    <row r="226" spans="3:13" ht="12.75">
      <c r="C226" t="s">
        <v>476</v>
      </c>
      <c r="M226">
        <v>27</v>
      </c>
    </row>
    <row r="227" spans="3:13" ht="12.75">
      <c r="C227" t="s">
        <v>364</v>
      </c>
      <c r="M227" s="24">
        <f>17200/140*0.5</f>
        <v>61.42857142857143</v>
      </c>
    </row>
    <row r="228" spans="3:13" ht="12.75">
      <c r="C228" t="s">
        <v>366</v>
      </c>
      <c r="M228" s="24">
        <f>(M223-M224-M225-M226-M227)/0.7</f>
        <v>151.64575147405216</v>
      </c>
    </row>
    <row r="229" spans="3:14" ht="12.75">
      <c r="C229" s="4" t="s">
        <v>154</v>
      </c>
      <c r="M229" s="28">
        <f>(M228)/1242*12</f>
        <v>1.4651763427444653</v>
      </c>
      <c r="N229" s="1"/>
    </row>
    <row r="230" spans="3:13" ht="12.75">
      <c r="C230" s="4" t="s">
        <v>336</v>
      </c>
      <c r="M230" s="1">
        <v>1.5</v>
      </c>
    </row>
    <row r="231" spans="3:13" ht="12.75">
      <c r="C231" s="4"/>
      <c r="M231" s="1"/>
    </row>
    <row r="232" spans="3:14" ht="12.75">
      <c r="C232" s="4" t="s">
        <v>39</v>
      </c>
      <c r="E232" s="1"/>
      <c r="M232" s="24">
        <f>M221/G223*1000/E290*100</f>
        <v>45.72862166349536</v>
      </c>
      <c r="N232" t="s">
        <v>607</v>
      </c>
    </row>
    <row r="234" ht="12.75">
      <c r="C234" s="1"/>
    </row>
    <row r="235" ht="12.75">
      <c r="C235" s="1"/>
    </row>
    <row r="236" ht="12.75">
      <c r="C236" s="1"/>
    </row>
    <row r="237" spans="1:7" ht="12.75">
      <c r="A237" s="1" t="s">
        <v>597</v>
      </c>
      <c r="C237" s="1" t="s">
        <v>522</v>
      </c>
      <c r="F237" s="1"/>
      <c r="G237" s="1"/>
    </row>
    <row r="238" spans="1:7" ht="12.75">
      <c r="A238" s="1"/>
      <c r="C238" s="1"/>
      <c r="F238" s="1"/>
      <c r="G238" s="1"/>
    </row>
    <row r="239" spans="1:12" ht="12.75">
      <c r="A239" t="s">
        <v>598</v>
      </c>
      <c r="C239" s="11" t="s">
        <v>500</v>
      </c>
      <c r="D239" s="11" t="s">
        <v>501</v>
      </c>
      <c r="E239" s="11" t="s">
        <v>502</v>
      </c>
      <c r="F239" s="11" t="s">
        <v>503</v>
      </c>
      <c r="G239" s="11"/>
      <c r="H239" s="11" t="s">
        <v>504</v>
      </c>
      <c r="I239" s="11" t="s">
        <v>505</v>
      </c>
      <c r="J239" s="11" t="s">
        <v>506</v>
      </c>
      <c r="K239" s="11" t="s">
        <v>507</v>
      </c>
      <c r="L239" s="11" t="s">
        <v>508</v>
      </c>
    </row>
    <row r="240" spans="1:12" ht="12.75">
      <c r="A240" t="s">
        <v>523</v>
      </c>
      <c r="B240" t="s">
        <v>532</v>
      </c>
      <c r="C240">
        <v>291</v>
      </c>
      <c r="D240">
        <v>152</v>
      </c>
      <c r="E240">
        <v>75</v>
      </c>
      <c r="F240">
        <v>56</v>
      </c>
      <c r="H240">
        <v>73</v>
      </c>
      <c r="I240">
        <v>152</v>
      </c>
      <c r="J240">
        <v>302</v>
      </c>
      <c r="K240">
        <v>501</v>
      </c>
      <c r="L240">
        <v>666</v>
      </c>
    </row>
    <row r="241" spans="1:12" ht="12.75">
      <c r="A241" t="s">
        <v>523</v>
      </c>
      <c r="B241" t="s">
        <v>533</v>
      </c>
      <c r="C241">
        <v>534</v>
      </c>
      <c r="D241">
        <v>351</v>
      </c>
      <c r="E241">
        <v>198</v>
      </c>
      <c r="F241">
        <v>146</v>
      </c>
      <c r="H241">
        <v>199</v>
      </c>
      <c r="I241">
        <v>361</v>
      </c>
      <c r="J241">
        <v>563</v>
      </c>
      <c r="K241">
        <v>758</v>
      </c>
      <c r="L241">
        <v>893</v>
      </c>
    </row>
    <row r="242" spans="2:12" ht="12.75">
      <c r="B242" t="s">
        <v>533</v>
      </c>
      <c r="C242">
        <v>534</v>
      </c>
      <c r="D242">
        <v>351</v>
      </c>
      <c r="E242">
        <v>198</v>
      </c>
      <c r="F242">
        <v>146</v>
      </c>
      <c r="H242">
        <v>199</v>
      </c>
      <c r="I242">
        <v>361</v>
      </c>
      <c r="J242">
        <v>563</v>
      </c>
      <c r="K242">
        <v>758</v>
      </c>
      <c r="L242">
        <v>893</v>
      </c>
    </row>
    <row r="244" spans="1:12" ht="12.75">
      <c r="A244" t="s">
        <v>524</v>
      </c>
      <c r="B244" t="s">
        <v>532</v>
      </c>
      <c r="C244">
        <v>240</v>
      </c>
      <c r="D244">
        <v>108</v>
      </c>
      <c r="E244">
        <v>47</v>
      </c>
      <c r="F244">
        <v>34</v>
      </c>
      <c r="H244">
        <v>46</v>
      </c>
      <c r="I244">
        <v>107</v>
      </c>
      <c r="J244">
        <v>250</v>
      </c>
      <c r="K244">
        <v>461</v>
      </c>
      <c r="L244">
        <v>645</v>
      </c>
    </row>
    <row r="245" spans="1:12" ht="12.75">
      <c r="A245" t="s">
        <v>524</v>
      </c>
      <c r="B245" t="s">
        <v>533</v>
      </c>
      <c r="C245">
        <v>465</v>
      </c>
      <c r="D245">
        <v>266</v>
      </c>
      <c r="E245">
        <v>117</v>
      </c>
      <c r="F245">
        <v>73</v>
      </c>
      <c r="H245">
        <v>117</v>
      </c>
      <c r="I245">
        <v>274</v>
      </c>
      <c r="J245">
        <v>494</v>
      </c>
      <c r="K245">
        <v>724</v>
      </c>
      <c r="L245">
        <v>893</v>
      </c>
    </row>
    <row r="246" spans="2:12" ht="12.75">
      <c r="B246" t="s">
        <v>533</v>
      </c>
      <c r="C246">
        <v>465</v>
      </c>
      <c r="D246">
        <v>266</v>
      </c>
      <c r="E246">
        <v>117</v>
      </c>
      <c r="F246">
        <v>73</v>
      </c>
      <c r="H246">
        <v>117</v>
      </c>
      <c r="I246">
        <v>274</v>
      </c>
      <c r="J246">
        <v>494</v>
      </c>
      <c r="K246">
        <v>724</v>
      </c>
      <c r="L246">
        <v>893</v>
      </c>
    </row>
    <row r="248" spans="1:12" ht="12.75">
      <c r="A248" s="1" t="s">
        <v>619</v>
      </c>
      <c r="C248" s="25">
        <f>SUM(C240:C247)/6</f>
        <v>421.5</v>
      </c>
      <c r="D248" s="1">
        <f>SUM(D240:D247)/6</f>
        <v>249</v>
      </c>
      <c r="E248" s="25">
        <f>SUM(E240:E247)/6</f>
        <v>125.33333333333333</v>
      </c>
      <c r="F248" s="1">
        <f>SUM(F240:F247)/6</f>
        <v>88</v>
      </c>
      <c r="G248" s="1"/>
      <c r="H248" s="25">
        <f>SUM(H240:H247)/6</f>
        <v>125.16666666666667</v>
      </c>
      <c r="I248" s="25">
        <f>SUM(I240:I247)/6</f>
        <v>254.83333333333334</v>
      </c>
      <c r="J248" s="25">
        <f>SUM(J240:J247)/6</f>
        <v>444.3333333333333</v>
      </c>
      <c r="K248" s="25">
        <f>SUM(K240:K247)/6</f>
        <v>654.3333333333334</v>
      </c>
      <c r="L248" s="25">
        <f>SUM(L240:L247)/6</f>
        <v>813.8333333333334</v>
      </c>
    </row>
    <row r="250" spans="1:12" ht="12.75">
      <c r="A250" t="s">
        <v>526</v>
      </c>
      <c r="B250" t="s">
        <v>530</v>
      </c>
      <c r="C250">
        <v>1033</v>
      </c>
      <c r="D250">
        <v>1006</v>
      </c>
      <c r="E250">
        <v>887</v>
      </c>
      <c r="F250">
        <v>822</v>
      </c>
      <c r="H250">
        <v>904</v>
      </c>
      <c r="I250">
        <v>1049</v>
      </c>
      <c r="J250">
        <v>1087</v>
      </c>
      <c r="K250">
        <v>994</v>
      </c>
      <c r="L250">
        <v>881</v>
      </c>
    </row>
    <row r="251" spans="1:12" ht="12.75">
      <c r="A251" t="s">
        <v>526</v>
      </c>
      <c r="B251" t="s">
        <v>531</v>
      </c>
      <c r="C251">
        <v>925</v>
      </c>
      <c r="D251">
        <v>974</v>
      </c>
      <c r="E251">
        <v>914</v>
      </c>
      <c r="F251">
        <v>867</v>
      </c>
      <c r="H251">
        <v>932</v>
      </c>
      <c r="I251">
        <v>1015</v>
      </c>
      <c r="J251">
        <v>968</v>
      </c>
      <c r="K251">
        <v>782</v>
      </c>
      <c r="L251">
        <v>601</v>
      </c>
    </row>
    <row r="252" spans="2:12" ht="12.75">
      <c r="B252" t="s">
        <v>531</v>
      </c>
      <c r="C252">
        <v>925</v>
      </c>
      <c r="D252">
        <v>974</v>
      </c>
      <c r="E252">
        <v>914</v>
      </c>
      <c r="F252">
        <v>867</v>
      </c>
      <c r="H252">
        <v>932</v>
      </c>
      <c r="I252">
        <v>1015</v>
      </c>
      <c r="J252">
        <v>968</v>
      </c>
      <c r="K252">
        <v>782</v>
      </c>
      <c r="L252">
        <v>601</v>
      </c>
    </row>
    <row r="253" spans="2:12" ht="12.75">
      <c r="B253" t="s">
        <v>538</v>
      </c>
      <c r="C253">
        <v>396</v>
      </c>
      <c r="D253">
        <v>493</v>
      </c>
      <c r="E253">
        <v>551</v>
      </c>
      <c r="F253">
        <v>557</v>
      </c>
      <c r="H253">
        <v>561</v>
      </c>
      <c r="I253">
        <v>508</v>
      </c>
      <c r="J253">
        <v>403</v>
      </c>
      <c r="K253">
        <v>296</v>
      </c>
      <c r="L253">
        <v>247</v>
      </c>
    </row>
    <row r="254" spans="2:12" ht="12.75">
      <c r="B254" t="s">
        <v>538</v>
      </c>
      <c r="C254">
        <v>396</v>
      </c>
      <c r="D254">
        <v>493</v>
      </c>
      <c r="E254">
        <v>551</v>
      </c>
      <c r="F254">
        <v>557</v>
      </c>
      <c r="H254">
        <v>561</v>
      </c>
      <c r="I254">
        <v>508</v>
      </c>
      <c r="J254">
        <v>403</v>
      </c>
      <c r="K254">
        <v>296</v>
      </c>
      <c r="L254">
        <v>247</v>
      </c>
    </row>
    <row r="255" spans="2:12" ht="12.75">
      <c r="B255" t="s">
        <v>539</v>
      </c>
      <c r="C255">
        <v>222</v>
      </c>
      <c r="D255">
        <v>247</v>
      </c>
      <c r="E255">
        <v>269</v>
      </c>
      <c r="F255">
        <v>276</v>
      </c>
      <c r="H255">
        <v>273</v>
      </c>
      <c r="I255">
        <v>250</v>
      </c>
      <c r="J255">
        <v>220</v>
      </c>
      <c r="K255">
        <v>199</v>
      </c>
      <c r="L255">
        <v>200</v>
      </c>
    </row>
    <row r="256" spans="1:12" ht="12.75">
      <c r="A256" t="s">
        <v>527</v>
      </c>
      <c r="B256" t="s">
        <v>530</v>
      </c>
      <c r="C256">
        <v>1040</v>
      </c>
      <c r="D256">
        <v>925</v>
      </c>
      <c r="E256">
        <v>713</v>
      </c>
      <c r="F256">
        <v>610</v>
      </c>
      <c r="H256">
        <v>729</v>
      </c>
      <c r="I256">
        <v>968</v>
      </c>
      <c r="J256">
        <v>1100</v>
      </c>
      <c r="K256">
        <v>1081</v>
      </c>
      <c r="L256">
        <v>1007</v>
      </c>
    </row>
    <row r="257" spans="1:12" ht="12.75">
      <c r="A257" t="s">
        <v>527</v>
      </c>
      <c r="B257" t="s">
        <v>531</v>
      </c>
      <c r="C257">
        <v>963</v>
      </c>
      <c r="D257">
        <v>925</v>
      </c>
      <c r="E257">
        <v>760</v>
      </c>
      <c r="F257">
        <v>665</v>
      </c>
      <c r="H257">
        <v>776</v>
      </c>
      <c r="I257">
        <v>967</v>
      </c>
      <c r="J257">
        <v>1014</v>
      </c>
      <c r="K257">
        <v>895</v>
      </c>
      <c r="L257">
        <v>749</v>
      </c>
    </row>
    <row r="258" spans="2:12" ht="12.75">
      <c r="B258" t="s">
        <v>531</v>
      </c>
      <c r="C258">
        <v>963</v>
      </c>
      <c r="D258">
        <v>925</v>
      </c>
      <c r="E258">
        <v>760</v>
      </c>
      <c r="F258">
        <v>665</v>
      </c>
      <c r="H258">
        <v>776</v>
      </c>
      <c r="I258">
        <v>967</v>
      </c>
      <c r="J258">
        <v>1014</v>
      </c>
      <c r="K258">
        <v>895</v>
      </c>
      <c r="L258">
        <v>749</v>
      </c>
    </row>
    <row r="259" spans="2:12" ht="12.75">
      <c r="B259" t="s">
        <v>538</v>
      </c>
      <c r="C259">
        <v>453</v>
      </c>
      <c r="D259">
        <v>513</v>
      </c>
      <c r="E259">
        <v>502</v>
      </c>
      <c r="F259">
        <v>468</v>
      </c>
      <c r="H259">
        <v>512</v>
      </c>
      <c r="I259">
        <v>531</v>
      </c>
      <c r="J259">
        <v>465</v>
      </c>
      <c r="K259">
        <v>370</v>
      </c>
      <c r="L259">
        <v>316</v>
      </c>
    </row>
    <row r="260" spans="2:12" ht="12.75">
      <c r="B260" t="s">
        <v>538</v>
      </c>
      <c r="C260">
        <v>453</v>
      </c>
      <c r="D260">
        <v>513</v>
      </c>
      <c r="E260">
        <v>502</v>
      </c>
      <c r="F260">
        <v>468</v>
      </c>
      <c r="H260">
        <v>512</v>
      </c>
      <c r="I260">
        <v>531</v>
      </c>
      <c r="J260">
        <v>465</v>
      </c>
      <c r="K260">
        <v>370</v>
      </c>
      <c r="L260">
        <v>316</v>
      </c>
    </row>
    <row r="261" spans="2:12" ht="12.75">
      <c r="B261" t="s">
        <v>539</v>
      </c>
      <c r="C261">
        <v>243</v>
      </c>
      <c r="D261">
        <v>256</v>
      </c>
      <c r="E261">
        <v>255</v>
      </c>
      <c r="F261">
        <v>247</v>
      </c>
      <c r="H261">
        <v>259</v>
      </c>
      <c r="I261">
        <v>261</v>
      </c>
      <c r="J261">
        <v>244</v>
      </c>
      <c r="K261">
        <v>226</v>
      </c>
      <c r="L261">
        <v>225</v>
      </c>
    </row>
    <row r="262" spans="1:12" ht="12.75">
      <c r="A262" s="1" t="s">
        <v>618</v>
      </c>
      <c r="C262" s="25">
        <f>SUM(C250:C261)/6</f>
        <v>1335.3333333333333</v>
      </c>
      <c r="D262" s="1">
        <f>SUM(D250:D261)/6</f>
        <v>1374</v>
      </c>
      <c r="E262" s="1">
        <f>SUM(E250:E261)/6</f>
        <v>1263</v>
      </c>
      <c r="F262" s="25">
        <f>SUM(F250:F261)/6</f>
        <v>1178.1666666666667</v>
      </c>
      <c r="G262" s="1"/>
      <c r="H262" s="25">
        <f>SUM(H250:H261)/6</f>
        <v>1287.8333333333333</v>
      </c>
      <c r="I262" s="25">
        <f>SUM(I250:I261)/6</f>
        <v>1428.3333333333333</v>
      </c>
      <c r="J262" s="25">
        <f>SUM(J250:J261)/6</f>
        <v>1391.8333333333333</v>
      </c>
      <c r="K262" s="25">
        <f>SUM(K250:K261)/6</f>
        <v>1197.6666666666667</v>
      </c>
      <c r="L262" s="25">
        <f>SUM(L250:L261)/6</f>
        <v>1023.1666666666666</v>
      </c>
    </row>
    <row r="264" spans="1:12" ht="12.75">
      <c r="A264" t="s">
        <v>528</v>
      </c>
      <c r="B264" t="s">
        <v>540</v>
      </c>
      <c r="C264">
        <v>980</v>
      </c>
      <c r="D264">
        <v>878</v>
      </c>
      <c r="E264">
        <v>721</v>
      </c>
      <c r="F264">
        <v>649</v>
      </c>
      <c r="H264">
        <v>734</v>
      </c>
      <c r="I264">
        <v>916</v>
      </c>
      <c r="J264">
        <v>1035</v>
      </c>
      <c r="K264">
        <v>1051</v>
      </c>
      <c r="L264">
        <v>1025</v>
      </c>
    </row>
    <row r="265" spans="1:12" ht="12.75">
      <c r="A265" t="s">
        <v>528</v>
      </c>
      <c r="B265" t="s">
        <v>540</v>
      </c>
      <c r="C265">
        <v>980</v>
      </c>
      <c r="D265">
        <v>878</v>
      </c>
      <c r="E265">
        <v>721</v>
      </c>
      <c r="F265">
        <v>649</v>
      </c>
      <c r="H265">
        <v>734</v>
      </c>
      <c r="I265">
        <v>916</v>
      </c>
      <c r="J265">
        <v>1035</v>
      </c>
      <c r="K265">
        <v>1051</v>
      </c>
      <c r="L265">
        <v>1025</v>
      </c>
    </row>
    <row r="266" spans="2:12" ht="12.75">
      <c r="B266" t="s">
        <v>541</v>
      </c>
      <c r="C266">
        <v>1033</v>
      </c>
      <c r="D266">
        <v>1006</v>
      </c>
      <c r="E266">
        <v>887</v>
      </c>
      <c r="F266">
        <v>822</v>
      </c>
      <c r="H266">
        <v>904</v>
      </c>
      <c r="I266">
        <v>1049</v>
      </c>
      <c r="J266">
        <v>1087</v>
      </c>
      <c r="K266">
        <v>994</v>
      </c>
      <c r="L266">
        <v>881</v>
      </c>
    </row>
    <row r="267" spans="1:12" ht="12.75">
      <c r="A267" t="s">
        <v>529</v>
      </c>
      <c r="B267" t="s">
        <v>540</v>
      </c>
      <c r="C267">
        <v>953</v>
      </c>
      <c r="D267">
        <v>780</v>
      </c>
      <c r="E267">
        <v>555</v>
      </c>
      <c r="F267">
        <v>458</v>
      </c>
      <c r="H267">
        <v>567</v>
      </c>
      <c r="I267">
        <v>816</v>
      </c>
      <c r="J267">
        <v>1012</v>
      </c>
      <c r="K267">
        <v>1098</v>
      </c>
      <c r="L267">
        <v>1114</v>
      </c>
    </row>
    <row r="268" spans="1:12" ht="12.75">
      <c r="A268" t="s">
        <v>529</v>
      </c>
      <c r="B268" t="s">
        <v>540</v>
      </c>
      <c r="C268">
        <v>953</v>
      </c>
      <c r="D268">
        <v>780</v>
      </c>
      <c r="E268">
        <v>555</v>
      </c>
      <c r="F268">
        <v>458</v>
      </c>
      <c r="H268">
        <v>567</v>
      </c>
      <c r="I268">
        <v>816</v>
      </c>
      <c r="J268">
        <v>1012</v>
      </c>
      <c r="K268">
        <v>1098</v>
      </c>
      <c r="L268">
        <v>1114</v>
      </c>
    </row>
    <row r="269" spans="2:12" ht="12.75">
      <c r="B269" t="s">
        <v>541</v>
      </c>
      <c r="C269">
        <v>1040</v>
      </c>
      <c r="D269">
        <v>925</v>
      </c>
      <c r="E269">
        <v>713</v>
      </c>
      <c r="F269">
        <v>610</v>
      </c>
      <c r="H269">
        <v>729</v>
      </c>
      <c r="I269">
        <v>968</v>
      </c>
      <c r="J269">
        <v>1100</v>
      </c>
      <c r="K269">
        <v>1081</v>
      </c>
      <c r="L269">
        <v>1007</v>
      </c>
    </row>
    <row r="270" spans="1:12" ht="12.75">
      <c r="A270" s="1" t="s">
        <v>620</v>
      </c>
      <c r="C270" s="25">
        <f>SUM(C264:C269)/6</f>
        <v>989.8333333333334</v>
      </c>
      <c r="D270" s="1">
        <f>SUM(D264:D269)/6</f>
        <v>874.5</v>
      </c>
      <c r="E270" s="1">
        <f>SUM(E264:E269)/6</f>
        <v>692</v>
      </c>
      <c r="F270" s="25">
        <f>SUM(F264:F269)/6</f>
        <v>607.6666666666666</v>
      </c>
      <c r="G270" s="1"/>
      <c r="H270" s="25">
        <f>SUM(H264:H269)/6</f>
        <v>705.8333333333334</v>
      </c>
      <c r="I270" s="25">
        <f>SUM(I264:I269)/6</f>
        <v>913.5</v>
      </c>
      <c r="J270" s="25">
        <f>SUM(J264:J269)/6</f>
        <v>1046.8333333333333</v>
      </c>
      <c r="K270" s="25">
        <f>SUM(K264:K269)/6</f>
        <v>1062.1666666666667</v>
      </c>
      <c r="L270" s="25">
        <f>SUM(L264:L269)/6</f>
        <v>1027.6666666666667</v>
      </c>
    </row>
    <row r="271" spans="2:12" ht="12.75">
      <c r="B271" s="13" t="s">
        <v>613</v>
      </c>
      <c r="C271" t="str">
        <f>B271</f>
        <v>---------------</v>
      </c>
      <c r="D271" t="str">
        <f>B271</f>
        <v>---------------</v>
      </c>
      <c r="E271" t="str">
        <f>B271</f>
        <v>---------------</v>
      </c>
      <c r="F271" t="str">
        <f>B271</f>
        <v>---------------</v>
      </c>
      <c r="G271" t="str">
        <f>B271</f>
        <v>---------------</v>
      </c>
      <c r="H271" t="str">
        <f>B271</f>
        <v>---------------</v>
      </c>
      <c r="I271" t="str">
        <f>B271</f>
        <v>---------------</v>
      </c>
      <c r="J271" t="str">
        <f>B271</f>
        <v>---------------</v>
      </c>
      <c r="K271" t="str">
        <f>B271</f>
        <v>---------------</v>
      </c>
      <c r="L271" t="str">
        <f>B271</f>
        <v>---------------</v>
      </c>
    </row>
    <row r="272" spans="1:12" ht="12.75">
      <c r="A272" t="s">
        <v>526</v>
      </c>
      <c r="B272" t="s">
        <v>614</v>
      </c>
      <c r="C272">
        <v>672</v>
      </c>
      <c r="D272">
        <v>791</v>
      </c>
      <c r="E272">
        <v>798</v>
      </c>
      <c r="F272">
        <v>775</v>
      </c>
      <c r="H272">
        <v>813</v>
      </c>
      <c r="I272">
        <v>821</v>
      </c>
      <c r="J272">
        <v>694</v>
      </c>
      <c r="K272">
        <v>488</v>
      </c>
      <c r="L272">
        <v>358</v>
      </c>
    </row>
    <row r="273" spans="1:12" ht="12.75">
      <c r="A273" t="s">
        <v>527</v>
      </c>
      <c r="B273" t="s">
        <v>614</v>
      </c>
      <c r="C273">
        <v>737</v>
      </c>
      <c r="D273">
        <v>779</v>
      </c>
      <c r="E273">
        <v>686</v>
      </c>
      <c r="F273">
        <v>616</v>
      </c>
      <c r="H273">
        <v>701</v>
      </c>
      <c r="I273">
        <v>813</v>
      </c>
      <c r="J273">
        <v>767</v>
      </c>
      <c r="K273">
        <v>605</v>
      </c>
      <c r="L273">
        <v>483</v>
      </c>
    </row>
    <row r="274" spans="1:12" ht="12.75">
      <c r="A274" s="1" t="s">
        <v>617</v>
      </c>
      <c r="B274" t="s">
        <v>614</v>
      </c>
      <c r="C274" s="1">
        <f>C272+C273</f>
        <v>1409</v>
      </c>
      <c r="D274" s="1">
        <f>D272+D273</f>
        <v>1570</v>
      </c>
      <c r="E274" s="1">
        <f>E272+E273</f>
        <v>1484</v>
      </c>
      <c r="F274" s="1">
        <f>F272+F273</f>
        <v>1391</v>
      </c>
      <c r="H274" s="1">
        <f>H272+H273</f>
        <v>1514</v>
      </c>
      <c r="I274" s="1">
        <f>I272+I273</f>
        <v>1634</v>
      </c>
      <c r="J274" s="1">
        <f>J272+J273</f>
        <v>1461</v>
      </c>
      <c r="K274" s="1">
        <f>K272+K273</f>
        <v>1093</v>
      </c>
      <c r="L274" s="1">
        <f>L272+L273</f>
        <v>841</v>
      </c>
    </row>
    <row r="275" spans="1:12" ht="12.75">
      <c r="A275" t="s">
        <v>528</v>
      </c>
      <c r="B275" t="s">
        <v>615</v>
      </c>
      <c r="C275">
        <v>787</v>
      </c>
      <c r="D275">
        <v>623</v>
      </c>
      <c r="E275">
        <v>445</v>
      </c>
      <c r="F275">
        <v>374</v>
      </c>
      <c r="H275">
        <v>452</v>
      </c>
      <c r="I275">
        <v>648</v>
      </c>
      <c r="J275">
        <v>832</v>
      </c>
      <c r="K275">
        <v>957</v>
      </c>
      <c r="L275">
        <v>1024</v>
      </c>
    </row>
    <row r="276" spans="1:12" ht="12.75">
      <c r="A276" t="s">
        <v>529</v>
      </c>
      <c r="B276" t="s">
        <v>615</v>
      </c>
      <c r="C276">
        <v>729</v>
      </c>
      <c r="D276">
        <v>519</v>
      </c>
      <c r="E276">
        <v>310</v>
      </c>
      <c r="F276">
        <v>233</v>
      </c>
      <c r="H276">
        <v>316</v>
      </c>
      <c r="I276">
        <v>541</v>
      </c>
      <c r="J276">
        <v>775</v>
      </c>
      <c r="K276">
        <v>957</v>
      </c>
      <c r="L276">
        <v>1065</v>
      </c>
    </row>
    <row r="277" spans="1:12" ht="12.75">
      <c r="A277" s="1" t="s">
        <v>616</v>
      </c>
      <c r="B277" t="s">
        <v>615</v>
      </c>
      <c r="C277" s="1">
        <f>(C275+C276)/2</f>
        <v>758</v>
      </c>
      <c r="D277" s="1">
        <f>(D275+D276)/2</f>
        <v>571</v>
      </c>
      <c r="E277" s="1">
        <f>(E275+E276)/2</f>
        <v>377.5</v>
      </c>
      <c r="F277" s="25">
        <f>(F275+F276)/2</f>
        <v>303.5</v>
      </c>
      <c r="H277" s="1">
        <f>(H275+H276)/2</f>
        <v>384</v>
      </c>
      <c r="I277" s="25">
        <f>(I275+I276)/2</f>
        <v>594.5</v>
      </c>
      <c r="J277" s="25">
        <f>(J275+J276)/2</f>
        <v>803.5</v>
      </c>
      <c r="K277" s="1">
        <f>(K275+K276)/2</f>
        <v>957</v>
      </c>
      <c r="L277" s="25">
        <f>(L275+L276)/2</f>
        <v>1044.5</v>
      </c>
    </row>
    <row r="279" ht="12.75">
      <c r="E279" s="1"/>
    </row>
    <row r="280" ht="12.75">
      <c r="E280" s="1"/>
    </row>
    <row r="281" spans="2:5" ht="12.75">
      <c r="B281" s="1" t="s">
        <v>699</v>
      </c>
      <c r="E281" s="1"/>
    </row>
    <row r="282" ht="12.75">
      <c r="H282" s="1"/>
    </row>
    <row r="283" ht="12.75">
      <c r="B283" t="s">
        <v>353</v>
      </c>
    </row>
    <row r="284" ht="12.75">
      <c r="B284" t="s">
        <v>276</v>
      </c>
    </row>
    <row r="286" spans="1:2" ht="12.75">
      <c r="A286" s="1"/>
      <c r="B286" t="s">
        <v>354</v>
      </c>
    </row>
    <row r="287" spans="1:2" ht="12.75">
      <c r="A287" s="1"/>
      <c r="B287" t="s">
        <v>337</v>
      </c>
    </row>
    <row r="288" ht="12.75">
      <c r="B288" t="s">
        <v>397</v>
      </c>
    </row>
    <row r="289" ht="12.75">
      <c r="B289" t="s">
        <v>355</v>
      </c>
    </row>
    <row r="290" spans="2:6" ht="12.75">
      <c r="B290" s="1" t="s">
        <v>338</v>
      </c>
      <c r="E290" s="1">
        <v>77</v>
      </c>
      <c r="F290" s="1" t="s">
        <v>343</v>
      </c>
    </row>
    <row r="291" spans="2:11" ht="12.75">
      <c r="B291" s="1" t="s">
        <v>342</v>
      </c>
      <c r="E291" s="56">
        <f>E290/7</f>
        <v>11</v>
      </c>
      <c r="F291" s="1" t="s">
        <v>352</v>
      </c>
      <c r="K291" s="1"/>
    </row>
    <row r="292" ht="12.75">
      <c r="B292" s="4"/>
    </row>
    <row r="293" ht="12.75">
      <c r="B293" s="1" t="s">
        <v>703</v>
      </c>
    </row>
    <row r="294" ht="12.75">
      <c r="C294" s="4" t="s">
        <v>788</v>
      </c>
    </row>
    <row r="296" spans="2:13" ht="12.75">
      <c r="B296" s="14" t="s">
        <v>158</v>
      </c>
      <c r="F296" s="23">
        <f>O112/(I296-L296)-O103+((H167+H168)*1000000/31/24/(I296-L296))</f>
        <v>178.9370817798102</v>
      </c>
      <c r="G296" t="s">
        <v>736</v>
      </c>
      <c r="H296" s="11" t="s">
        <v>716</v>
      </c>
      <c r="I296" s="23">
        <f>E90-1</f>
        <v>69.25</v>
      </c>
      <c r="J296" t="s">
        <v>702</v>
      </c>
      <c r="K296" s="11" t="s">
        <v>717</v>
      </c>
      <c r="L296">
        <v>-5.8</v>
      </c>
      <c r="M296" t="s">
        <v>702</v>
      </c>
    </row>
    <row r="297" spans="1:15" ht="12.75">
      <c r="A297" s="82"/>
      <c r="B297" s="1" t="s">
        <v>134</v>
      </c>
      <c r="N297">
        <v>32</v>
      </c>
      <c r="O297" t="s">
        <v>55</v>
      </c>
    </row>
    <row r="298" spans="2:11" ht="12.75">
      <c r="B298" s="4" t="s">
        <v>42</v>
      </c>
      <c r="E298" s="29"/>
      <c r="F298" s="23">
        <f>E290*1000/F296</f>
        <v>430.31885416993566</v>
      </c>
      <c r="G298" t="s">
        <v>737</v>
      </c>
      <c r="H298" s="28">
        <f>F298/24</f>
        <v>17.929952257080654</v>
      </c>
      <c r="I298" s="29" t="s">
        <v>738</v>
      </c>
      <c r="K298" s="23"/>
    </row>
    <row r="299" spans="5:11" ht="12.75">
      <c r="E299" s="29"/>
      <c r="I299" s="19"/>
      <c r="K299" s="23"/>
    </row>
    <row r="300" spans="2:13" ht="12.75">
      <c r="B300" t="s">
        <v>739</v>
      </c>
      <c r="E300" s="29"/>
      <c r="G300">
        <f>L296</f>
        <v>-5.8</v>
      </c>
      <c r="H300" s="18" t="s">
        <v>740</v>
      </c>
      <c r="I300" s="18">
        <f>I296-L296</f>
        <v>75.05</v>
      </c>
      <c r="J300" s="18" t="s">
        <v>741</v>
      </c>
      <c r="K300" s="23">
        <f>F298</f>
        <v>430.31885416993566</v>
      </c>
      <c r="L300" s="18" t="s">
        <v>742</v>
      </c>
      <c r="M300">
        <f>N297</f>
        <v>32</v>
      </c>
    </row>
    <row r="301" spans="2:11" ht="12.75">
      <c r="B301" t="s">
        <v>743</v>
      </c>
      <c r="C301">
        <f>M300-G300</f>
        <v>37.8</v>
      </c>
      <c r="D301" t="s">
        <v>744</v>
      </c>
      <c r="E301" s="43">
        <f>I300</f>
        <v>75.05</v>
      </c>
      <c r="F301" t="str">
        <f>J300</f>
        <v>exp (-t /</v>
      </c>
      <c r="G301" s="23">
        <f>K300</f>
        <v>430.31885416993566</v>
      </c>
      <c r="H301" t="s">
        <v>745</v>
      </c>
      <c r="I301" s="18"/>
      <c r="K301" s="23"/>
    </row>
    <row r="302" spans="2:11" ht="12.75">
      <c r="B302" t="s">
        <v>746</v>
      </c>
      <c r="C302" s="21">
        <f>C301/E301</f>
        <v>0.5036642238507661</v>
      </c>
      <c r="D302" t="s">
        <v>747</v>
      </c>
      <c r="E302" s="44">
        <f>G301</f>
        <v>430.31885416993566</v>
      </c>
      <c r="F302" t="s">
        <v>745</v>
      </c>
      <c r="I302" s="18"/>
      <c r="K302" s="23"/>
    </row>
    <row r="303" spans="2:11" ht="12.75">
      <c r="B303" t="s">
        <v>748</v>
      </c>
      <c r="D303" s="18" t="s">
        <v>749</v>
      </c>
      <c r="E303" s="43">
        <f>C302</f>
        <v>0.5036642238507661</v>
      </c>
      <c r="F303" t="s">
        <v>750</v>
      </c>
      <c r="G303" s="20">
        <f>LN(E303)</f>
        <v>-0.6858454554539289</v>
      </c>
      <c r="H303" s="18" t="s">
        <v>743</v>
      </c>
      <c r="I303" s="45">
        <f>G303</f>
        <v>-0.6858454554539289</v>
      </c>
      <c r="J303" t="s">
        <v>751</v>
      </c>
      <c r="K303" s="23">
        <f>E302</f>
        <v>430.31885416993566</v>
      </c>
    </row>
    <row r="304" spans="2:11" ht="12.75">
      <c r="B304" t="s">
        <v>752</v>
      </c>
      <c r="C304" s="23">
        <f>K303*(-1)*I303</f>
        <v>295.13223052859234</v>
      </c>
      <c r="D304" t="s">
        <v>753</v>
      </c>
      <c r="E304" s="51">
        <f>C304/24</f>
        <v>12.29717627202468</v>
      </c>
      <c r="F304" s="14" t="s">
        <v>754</v>
      </c>
      <c r="G304" s="5"/>
      <c r="H304" s="5"/>
      <c r="I304" s="52"/>
      <c r="J304" s="53"/>
      <c r="K304" s="29" t="s">
        <v>755</v>
      </c>
    </row>
    <row r="305" spans="2:11" ht="12.75">
      <c r="B305" t="s">
        <v>156</v>
      </c>
      <c r="E305" s="28"/>
      <c r="F305" s="1"/>
      <c r="I305" s="18"/>
      <c r="J305" s="11"/>
      <c r="K305" s="23"/>
    </row>
    <row r="306" spans="5:11" ht="12.75">
      <c r="E306" s="28"/>
      <c r="F306" s="1"/>
      <c r="I306" s="18"/>
      <c r="J306" s="11"/>
      <c r="K306" s="23"/>
    </row>
    <row r="307" spans="2:11" ht="12.75">
      <c r="B307" s="1" t="s">
        <v>697</v>
      </c>
      <c r="I307" s="18"/>
      <c r="J307" s="11"/>
      <c r="K307" s="23"/>
    </row>
    <row r="308" spans="2:11" ht="12.75">
      <c r="B308" s="1" t="s">
        <v>155</v>
      </c>
      <c r="I308" s="18"/>
      <c r="J308" s="11"/>
      <c r="K308" s="23"/>
    </row>
    <row r="309" spans="9:11" ht="12.75">
      <c r="I309" s="69">
        <f>I296</f>
        <v>69.25</v>
      </c>
      <c r="J309" s="11"/>
      <c r="K309" s="23"/>
    </row>
    <row r="310" spans="2:13" ht="12.75">
      <c r="B310" s="14" t="s">
        <v>133</v>
      </c>
      <c r="F310" s="23">
        <f>((H200-(H169/F70))-(H165+H167+H168))*1000000/(31*(I310-L310))/24</f>
        <v>95.23092338765137</v>
      </c>
      <c r="G310" t="s">
        <v>756</v>
      </c>
      <c r="H310" s="11" t="s">
        <v>716</v>
      </c>
      <c r="I310" s="23">
        <f>I296</f>
        <v>69.25</v>
      </c>
      <c r="J310" t="s">
        <v>702</v>
      </c>
      <c r="K310" s="11" t="s">
        <v>717</v>
      </c>
      <c r="L310" s="23">
        <f>H181</f>
        <v>19.9</v>
      </c>
      <c r="M310" t="s">
        <v>702</v>
      </c>
    </row>
    <row r="311" spans="2:15" ht="12.75">
      <c r="B311" s="1" t="s">
        <v>54</v>
      </c>
      <c r="N311">
        <v>32</v>
      </c>
      <c r="O311" t="s">
        <v>55</v>
      </c>
    </row>
    <row r="313" spans="2:11" ht="12.75">
      <c r="B313" t="s">
        <v>41</v>
      </c>
      <c r="E313" s="29"/>
      <c r="F313" s="23">
        <f>E290*1000/F310</f>
        <v>808.560888216533</v>
      </c>
      <c r="G313" t="s">
        <v>737</v>
      </c>
      <c r="H313" s="25">
        <f>F313/24</f>
        <v>33.69003700902221</v>
      </c>
      <c r="I313" s="29" t="s">
        <v>40</v>
      </c>
      <c r="K313" s="23"/>
    </row>
    <row r="314" spans="5:11" ht="12.75">
      <c r="E314" s="29"/>
      <c r="I314" s="19"/>
      <c r="K314" s="23"/>
    </row>
    <row r="315" spans="2:13" ht="12.75">
      <c r="B315" t="s">
        <v>739</v>
      </c>
      <c r="E315" s="29"/>
      <c r="G315">
        <f>L310</f>
        <v>19.9</v>
      </c>
      <c r="H315" s="18" t="s">
        <v>740</v>
      </c>
      <c r="I315" s="18">
        <f>I310-L310</f>
        <v>49.35</v>
      </c>
      <c r="J315" s="18" t="s">
        <v>741</v>
      </c>
      <c r="K315" s="23">
        <f>F313</f>
        <v>808.560888216533</v>
      </c>
      <c r="L315" s="18" t="s">
        <v>742</v>
      </c>
      <c r="M315">
        <f>N311</f>
        <v>32</v>
      </c>
    </row>
    <row r="316" spans="2:11" ht="12.75">
      <c r="B316" t="s">
        <v>743</v>
      </c>
      <c r="C316">
        <f>M315-G315</f>
        <v>12.100000000000001</v>
      </c>
      <c r="D316" t="s">
        <v>744</v>
      </c>
      <c r="E316" s="43">
        <f>I315</f>
        <v>49.35</v>
      </c>
      <c r="F316" t="str">
        <f>J315</f>
        <v>exp (-t /</v>
      </c>
      <c r="G316" s="23">
        <f>K315</f>
        <v>808.560888216533</v>
      </c>
      <c r="H316" t="s">
        <v>745</v>
      </c>
      <c r="I316" s="18"/>
      <c r="K316" s="23"/>
    </row>
    <row r="317" spans="2:11" ht="12.75">
      <c r="B317" t="s">
        <v>746</v>
      </c>
      <c r="C317" s="20">
        <f>C316/E316</f>
        <v>0.2451874366767984</v>
      </c>
      <c r="D317" t="s">
        <v>747</v>
      </c>
      <c r="E317" s="44">
        <f>G316</f>
        <v>808.560888216533</v>
      </c>
      <c r="F317" t="s">
        <v>745</v>
      </c>
      <c r="I317" s="18"/>
      <c r="K317" s="23"/>
    </row>
    <row r="318" spans="2:11" ht="12.75">
      <c r="B318" t="s">
        <v>748</v>
      </c>
      <c r="D318" s="18" t="s">
        <v>749</v>
      </c>
      <c r="E318" s="46">
        <f>C317</f>
        <v>0.2451874366767984</v>
      </c>
      <c r="F318" t="s">
        <v>750</v>
      </c>
      <c r="G318" s="20">
        <f>LN(E318)</f>
        <v>-1.4057323132767952</v>
      </c>
      <c r="H318" s="18" t="s">
        <v>743</v>
      </c>
      <c r="I318" s="45">
        <f>G318</f>
        <v>-1.4057323132767952</v>
      </c>
      <c r="J318" t="s">
        <v>751</v>
      </c>
      <c r="K318" s="23">
        <f>E317</f>
        <v>808.560888216533</v>
      </c>
    </row>
    <row r="319" spans="2:11" ht="12.75">
      <c r="B319" t="s">
        <v>752</v>
      </c>
      <c r="C319" s="23">
        <f>K318*(-1)*I318</f>
        <v>1136.6201678177672</v>
      </c>
      <c r="D319" t="s">
        <v>753</v>
      </c>
      <c r="E319" s="51">
        <f>C319/24</f>
        <v>47.35917365907363</v>
      </c>
      <c r="F319" s="14" t="s">
        <v>787</v>
      </c>
      <c r="G319" s="5"/>
      <c r="H319" s="5"/>
      <c r="I319" s="52"/>
      <c r="J319" s="53"/>
      <c r="K319" s="31"/>
    </row>
    <row r="321" ht="12.75">
      <c r="B321" s="4" t="s">
        <v>339</v>
      </c>
    </row>
    <row r="323" ht="12.75">
      <c r="B323" s="1" t="s">
        <v>686</v>
      </c>
    </row>
    <row r="324" spans="2:8" ht="12.75">
      <c r="B324" s="1" t="s">
        <v>71</v>
      </c>
      <c r="H324" s="4"/>
    </row>
    <row r="326" ht="12.75">
      <c r="B326" s="1" t="s">
        <v>792</v>
      </c>
    </row>
    <row r="327" ht="12.75">
      <c r="B327" s="1" t="s">
        <v>437</v>
      </c>
    </row>
    <row r="329" ht="12.75">
      <c r="B329" s="16" t="s">
        <v>356</v>
      </c>
    </row>
    <row r="331" ht="12.75">
      <c r="B331" s="14" t="s">
        <v>351</v>
      </c>
    </row>
    <row r="332" ht="12.75">
      <c r="B332" s="16"/>
    </row>
    <row r="334" spans="3:9" ht="12.75">
      <c r="C334" s="7"/>
      <c r="D334" s="7"/>
      <c r="E334" s="7"/>
      <c r="F334" s="7"/>
      <c r="G334" s="7"/>
      <c r="H334" s="7"/>
      <c r="I334" s="7"/>
    </row>
    <row r="335" ht="12.75">
      <c r="C335" s="14" t="s">
        <v>592</v>
      </c>
    </row>
    <row r="336" spans="2:9" ht="12.75">
      <c r="B336" s="7"/>
      <c r="C336" s="7"/>
      <c r="D336" s="1"/>
      <c r="E336" s="6"/>
      <c r="F336" s="7"/>
      <c r="G336" s="7"/>
      <c r="H336" s="7"/>
      <c r="I336" s="8"/>
    </row>
    <row r="337" spans="3:7" ht="12.75">
      <c r="C337" s="1" t="s">
        <v>74</v>
      </c>
      <c r="G337" s="1" t="s">
        <v>652</v>
      </c>
    </row>
    <row r="339" spans="3:7" ht="12.75">
      <c r="C339" s="1" t="s">
        <v>258</v>
      </c>
      <c r="G339" s="1" t="s">
        <v>722</v>
      </c>
    </row>
    <row r="340" spans="1:10" ht="12.75">
      <c r="A340" s="1" t="s">
        <v>789</v>
      </c>
      <c r="C340" s="28">
        <f>O112/1000</f>
        <v>20.929901209944173</v>
      </c>
      <c r="D340" s="1" t="s">
        <v>642</v>
      </c>
      <c r="G340" s="28">
        <v>12</v>
      </c>
      <c r="H340" s="1" t="s">
        <v>688</v>
      </c>
      <c r="I340" s="27"/>
      <c r="J340" s="1"/>
    </row>
    <row r="341" spans="1:10" ht="12.75">
      <c r="A341" s="1"/>
      <c r="C341" s="1"/>
      <c r="D341" s="1"/>
      <c r="H341" s="1" t="s">
        <v>266</v>
      </c>
      <c r="I341" s="1"/>
      <c r="J341" s="1"/>
    </row>
    <row r="342" spans="1:7" ht="12.75">
      <c r="A342" s="1" t="s">
        <v>730</v>
      </c>
      <c r="B342" s="1"/>
      <c r="C342" s="1"/>
      <c r="F342" s="1"/>
      <c r="G342" s="1"/>
    </row>
    <row r="344" spans="1:14" ht="12.75">
      <c r="A344" s="1" t="s">
        <v>790</v>
      </c>
      <c r="B344" s="1" t="s">
        <v>653</v>
      </c>
      <c r="C344" s="1"/>
      <c r="D344" s="1"/>
      <c r="E344" s="1"/>
      <c r="G344" s="1" t="s">
        <v>654</v>
      </c>
      <c r="H344" s="1"/>
      <c r="I344" s="1"/>
      <c r="J344" s="1"/>
      <c r="K344" s="1"/>
      <c r="M344" s="1"/>
      <c r="N344" s="1"/>
    </row>
    <row r="345" spans="1:14" ht="12.75">
      <c r="A345" s="1"/>
      <c r="B345" s="1" t="s">
        <v>76</v>
      </c>
      <c r="C345" s="1"/>
      <c r="D345" s="1"/>
      <c r="E345" s="1"/>
      <c r="G345" s="1" t="s">
        <v>75</v>
      </c>
      <c r="H345" s="1"/>
      <c r="I345" s="1"/>
      <c r="J345" s="1"/>
      <c r="K345" s="1"/>
      <c r="M345" s="1"/>
      <c r="N345" s="1"/>
    </row>
    <row r="346" spans="1:14" ht="12.75">
      <c r="A346" s="1"/>
      <c r="B346" s="1" t="s">
        <v>303</v>
      </c>
      <c r="D346" s="1"/>
      <c r="E346" s="1"/>
      <c r="G346" s="1" t="s">
        <v>304</v>
      </c>
      <c r="H346" s="1"/>
      <c r="I346" s="1"/>
      <c r="J346" s="1"/>
      <c r="K346" s="1"/>
      <c r="M346" s="1"/>
      <c r="N346" s="1"/>
    </row>
    <row r="347" spans="1:14" ht="12.75">
      <c r="A347" s="1"/>
      <c r="B347" s="1"/>
      <c r="C347" s="1"/>
      <c r="D347" s="1"/>
      <c r="E347" s="1"/>
      <c r="F347" s="1"/>
      <c r="G347" s="1"/>
      <c r="H347" s="1"/>
      <c r="I347" s="1"/>
      <c r="J347" s="1"/>
      <c r="K347" s="1"/>
      <c r="L347" s="1"/>
      <c r="M347" s="1"/>
      <c r="N347" s="1"/>
    </row>
    <row r="348" spans="1:14" ht="12.75">
      <c r="A348" s="1" t="s">
        <v>731</v>
      </c>
      <c r="G348" s="1"/>
      <c r="H348" s="1"/>
      <c r="I348" s="1"/>
      <c r="J348" s="1"/>
      <c r="K348" s="1"/>
      <c r="L348" s="1"/>
      <c r="M348" s="1"/>
      <c r="N348" s="1"/>
    </row>
    <row r="349" spans="1:14" ht="12.75">
      <c r="A349" s="1" t="s">
        <v>579</v>
      </c>
      <c r="B349" s="1" t="s">
        <v>735</v>
      </c>
      <c r="C349" s="1"/>
      <c r="D349" s="1"/>
      <c r="E349" s="1"/>
      <c r="F349" s="1"/>
      <c r="H349" s="1"/>
      <c r="I349" s="1"/>
      <c r="J349" s="1"/>
      <c r="K349" s="1"/>
      <c r="M349" s="1"/>
      <c r="N349" s="1"/>
    </row>
    <row r="350" spans="1:14" ht="12.75">
      <c r="A350" s="1"/>
      <c r="B350" s="1" t="s">
        <v>347</v>
      </c>
      <c r="C350" s="1"/>
      <c r="D350" s="1"/>
      <c r="E350" s="1"/>
      <c r="G350" s="1" t="s">
        <v>348</v>
      </c>
      <c r="H350" s="1"/>
      <c r="I350" s="1"/>
      <c r="J350" s="1"/>
      <c r="K350" s="1"/>
      <c r="L350" s="1"/>
      <c r="N350" s="1"/>
    </row>
    <row r="351" spans="1:14" ht="12.75">
      <c r="A351" s="1"/>
      <c r="B351" s="1" t="s">
        <v>657</v>
      </c>
      <c r="C351" s="1"/>
      <c r="D351" s="1"/>
      <c r="E351" s="1"/>
      <c r="G351" s="1" t="s">
        <v>732</v>
      </c>
      <c r="H351" s="1"/>
      <c r="I351" s="1"/>
      <c r="J351" s="1"/>
      <c r="K351" s="1"/>
      <c r="L351" s="1"/>
      <c r="M351" s="1"/>
      <c r="N351" s="1"/>
    </row>
    <row r="352" spans="1:14" ht="12.75">
      <c r="A352" s="1"/>
      <c r="B352" s="1" t="s">
        <v>590</v>
      </c>
      <c r="C352" s="1"/>
      <c r="D352" s="1"/>
      <c r="E352" s="1"/>
      <c r="G352" s="1" t="s">
        <v>436</v>
      </c>
      <c r="H352" s="1"/>
      <c r="I352" s="1"/>
      <c r="J352" s="1"/>
      <c r="K352" s="1"/>
      <c r="L352" s="1"/>
      <c r="M352" s="1"/>
      <c r="N352" s="1"/>
    </row>
    <row r="353" spans="1:14" ht="12.75">
      <c r="A353" s="1"/>
      <c r="B353" s="1" t="s">
        <v>593</v>
      </c>
      <c r="C353" s="1"/>
      <c r="D353" s="1"/>
      <c r="E353" s="1"/>
      <c r="G353" s="50" t="s">
        <v>435</v>
      </c>
      <c r="H353" s="1"/>
      <c r="I353" s="1"/>
      <c r="J353" s="1"/>
      <c r="K353" s="1"/>
      <c r="L353" s="1"/>
      <c r="M353" s="1"/>
      <c r="N353" s="1"/>
    </row>
    <row r="354" spans="1:14" ht="12.75">
      <c r="A354" s="1" t="s">
        <v>580</v>
      </c>
      <c r="C354" s="1"/>
      <c r="D354" s="1"/>
      <c r="E354" s="1"/>
      <c r="F354" s="1"/>
      <c r="G354" s="1"/>
      <c r="H354" s="1"/>
      <c r="I354" s="1"/>
      <c r="J354" s="1"/>
      <c r="K354" s="1"/>
      <c r="L354" s="1"/>
      <c r="M354" s="1"/>
      <c r="N354" s="1"/>
    </row>
    <row r="355" spans="2:14" ht="12.75">
      <c r="B355" s="1" t="s">
        <v>651</v>
      </c>
      <c r="C355" s="1"/>
      <c r="D355" s="1"/>
      <c r="E355" s="1"/>
      <c r="G355" s="1" t="s">
        <v>733</v>
      </c>
      <c r="H355" s="1"/>
      <c r="I355" s="1"/>
      <c r="J355" s="1"/>
      <c r="K355" s="1"/>
      <c r="L355" s="1"/>
      <c r="N355" s="1"/>
    </row>
    <row r="356" spans="2:14" ht="12.75">
      <c r="B356" s="1" t="s">
        <v>657</v>
      </c>
      <c r="C356" s="1"/>
      <c r="D356" s="1"/>
      <c r="E356" s="1"/>
      <c r="G356" s="1" t="s">
        <v>734</v>
      </c>
      <c r="H356" s="1"/>
      <c r="I356" s="1"/>
      <c r="J356" s="1"/>
      <c r="K356" s="1"/>
      <c r="N356" s="1"/>
    </row>
    <row r="357" spans="2:14" ht="12.75">
      <c r="B357" s="1" t="s">
        <v>159</v>
      </c>
      <c r="C357" s="1"/>
      <c r="D357" s="1"/>
      <c r="E357" s="1"/>
      <c r="G357" s="1" t="s">
        <v>594</v>
      </c>
      <c r="H357" s="1"/>
      <c r="I357" s="1"/>
      <c r="J357" s="1"/>
      <c r="K357" s="1"/>
      <c r="L357" s="1"/>
      <c r="M357" s="1"/>
      <c r="N357" s="1"/>
    </row>
    <row r="358" ht="12.75">
      <c r="B358" s="1" t="s">
        <v>591</v>
      </c>
    </row>
    <row r="360" ht="12.75">
      <c r="E360" s="1" t="s">
        <v>794</v>
      </c>
    </row>
    <row r="361" spans="3:12" ht="12.75">
      <c r="C361" s="5" t="s">
        <v>678</v>
      </c>
      <c r="I361" s="5" t="s">
        <v>677</v>
      </c>
      <c r="K361" s="11" t="s">
        <v>798</v>
      </c>
      <c r="L361" s="11"/>
    </row>
    <row r="362" spans="1:14" ht="12.75">
      <c r="A362" s="18" t="s">
        <v>658</v>
      </c>
      <c r="B362" t="s">
        <v>659</v>
      </c>
      <c r="D362">
        <v>0.17</v>
      </c>
      <c r="H362" t="s">
        <v>663</v>
      </c>
      <c r="J362">
        <v>0.59</v>
      </c>
      <c r="K362" s="49">
        <f>((6*33*63)+(2*18.5*33)+(4*32.75*47.25)+(2*18*32.25)+(2*28.25*31.75))/144</f>
        <v>158.60850694444446</v>
      </c>
      <c r="L362" s="23"/>
      <c r="N362" t="s">
        <v>793</v>
      </c>
    </row>
    <row r="363" spans="2:14" ht="12.75">
      <c r="B363" t="s">
        <v>661</v>
      </c>
      <c r="D363">
        <v>0.17</v>
      </c>
      <c r="N363" t="str">
        <f>N362</f>
        <v>322LOF EA2, #3#5,argon</v>
      </c>
    </row>
    <row r="364" spans="2:14" ht="12.75">
      <c r="B364" t="s">
        <v>660</v>
      </c>
      <c r="D364">
        <v>0.19</v>
      </c>
      <c r="H364" t="s">
        <v>796</v>
      </c>
      <c r="J364">
        <v>0.61</v>
      </c>
      <c r="K364" s="23">
        <f>((3*17.5*31.5)+(2*17.5*31))/144</f>
        <v>19.01909722222222</v>
      </c>
      <c r="N364" t="str">
        <f>N362</f>
        <v>322LOF EA2, #3#5,argon</v>
      </c>
    </row>
    <row r="365" spans="2:14" ht="12.75">
      <c r="B365" t="s">
        <v>662</v>
      </c>
      <c r="D365">
        <v>0.19</v>
      </c>
      <c r="N365" t="str">
        <f>N362</f>
        <v>322LOF EA2, #3#5,argon</v>
      </c>
    </row>
    <row r="366" spans="2:14" ht="12.75">
      <c r="B366" t="s">
        <v>668</v>
      </c>
      <c r="D366">
        <v>0.19</v>
      </c>
      <c r="H366" t="s">
        <v>669</v>
      </c>
      <c r="J366">
        <v>0.48</v>
      </c>
      <c r="K366" s="23">
        <f>(2*32*74.5)/144</f>
        <v>33.111111111111114</v>
      </c>
      <c r="N366" t="s">
        <v>779</v>
      </c>
    </row>
    <row r="367" spans="2:11" ht="12.75">
      <c r="B367" t="s">
        <v>802</v>
      </c>
      <c r="D367" s="22">
        <f>(D362*K362+D364*K364+D366*K366)/K367</f>
        <v>0.17494737839363023</v>
      </c>
      <c r="H367" t="s">
        <v>803</v>
      </c>
      <c r="J367" s="22">
        <f>(J362*K362+J364*K364+J366*K366)/K367</f>
        <v>0.574521874523728</v>
      </c>
      <c r="K367" s="23">
        <f>K362+K364+K366</f>
        <v>210.7387152777778</v>
      </c>
    </row>
    <row r="368" spans="2:14" ht="12.75">
      <c r="B368" t="s">
        <v>795</v>
      </c>
      <c r="D368">
        <v>0.27</v>
      </c>
      <c r="H368" t="s">
        <v>801</v>
      </c>
      <c r="J368" s="22">
        <v>0.52</v>
      </c>
      <c r="K368" s="23">
        <f>2*K366</f>
        <v>66.22222222222223</v>
      </c>
      <c r="N368" t="s">
        <v>780</v>
      </c>
    </row>
    <row r="369" spans="2:14" ht="12.75">
      <c r="B369" t="s">
        <v>800</v>
      </c>
      <c r="D369" s="22">
        <v>0.3</v>
      </c>
      <c r="H369" t="s">
        <v>799</v>
      </c>
      <c r="J369" s="22">
        <v>0.7</v>
      </c>
      <c r="K369" s="23">
        <f>(3*17.5*31.5)/144</f>
        <v>11.484375</v>
      </c>
      <c r="N369" t="str">
        <f>N368</f>
        <v>211AFG TiR, #3, argon</v>
      </c>
    </row>
    <row r="370" spans="2:14" ht="12.75">
      <c r="B370" t="s">
        <v>664</v>
      </c>
      <c r="D370" s="22">
        <v>0.19</v>
      </c>
      <c r="H370" t="s">
        <v>665</v>
      </c>
      <c r="J370" s="22">
        <v>0.39</v>
      </c>
      <c r="K370" s="23">
        <f>2*21*63/144</f>
        <v>18.375</v>
      </c>
      <c r="N370" t="s">
        <v>781</v>
      </c>
    </row>
    <row r="371" spans="2:11" ht="12.75">
      <c r="B371" t="s">
        <v>804</v>
      </c>
      <c r="D371">
        <v>0.29</v>
      </c>
      <c r="H371" t="s">
        <v>36</v>
      </c>
      <c r="J371" s="22">
        <f>(J368*K368+J369*K369)/K371</f>
        <v>0.5466024710114167</v>
      </c>
      <c r="K371" s="23">
        <f>K368+K369</f>
        <v>77.70659722222223</v>
      </c>
    </row>
    <row r="372" spans="1:4" ht="12.75">
      <c r="A372" s="18" t="s">
        <v>670</v>
      </c>
      <c r="B372" t="s">
        <v>666</v>
      </c>
      <c r="D372" s="22">
        <f>(6*D362+D364)/7</f>
        <v>0.17285714285714285</v>
      </c>
    </row>
    <row r="373" spans="2:15" ht="12.75">
      <c r="B373" t="s">
        <v>667</v>
      </c>
      <c r="D373" s="22">
        <f>(7*D362+D364)/8</f>
        <v>0.17250000000000001</v>
      </c>
      <c r="H373" t="s">
        <v>346</v>
      </c>
      <c r="N373" s="67">
        <f>0.199/O73*1000/0.99</f>
        <v>0.058895429537093764</v>
      </c>
      <c r="O373" t="s">
        <v>299</v>
      </c>
    </row>
    <row r="374" spans="8:15" ht="12.75">
      <c r="H374" t="s">
        <v>300</v>
      </c>
      <c r="N374" s="67">
        <f>0.65/21671/0.77*1000</f>
        <v>0.038953248311376684</v>
      </c>
      <c r="O374" t="str">
        <f>O373</f>
        <v>per Net k Btu</v>
      </c>
    </row>
    <row r="375" spans="2:15" ht="12.75">
      <c r="B375" t="s">
        <v>797</v>
      </c>
      <c r="D375" s="41">
        <f>(0.29*D362)+(0.71*D366)</f>
        <v>0.1842</v>
      </c>
      <c r="H375" t="s">
        <v>301</v>
      </c>
      <c r="N375" s="67">
        <f>280/22000/0.72</f>
        <v>0.01767676767676768</v>
      </c>
      <c r="O375" t="str">
        <f>O373</f>
        <v>per Net k Btu</v>
      </c>
    </row>
    <row r="376" spans="1:8" ht="12.75">
      <c r="A376" s="1"/>
      <c r="H376" t="s">
        <v>349</v>
      </c>
    </row>
    <row r="377" ht="12.75">
      <c r="A377" s="1"/>
    </row>
    <row r="378" spans="1:6" ht="12.75">
      <c r="A378" s="1"/>
      <c r="F378" s="1" t="s">
        <v>710</v>
      </c>
    </row>
    <row r="379" spans="1:14" ht="12.75">
      <c r="A379" s="1"/>
      <c r="C379" s="11" t="s">
        <v>500</v>
      </c>
      <c r="D379" s="11" t="s">
        <v>501</v>
      </c>
      <c r="E379" s="11" t="s">
        <v>502</v>
      </c>
      <c r="F379" s="11" t="s">
        <v>503</v>
      </c>
      <c r="G379" s="11"/>
      <c r="H379" s="11" t="s">
        <v>504</v>
      </c>
      <c r="I379" s="11" t="s">
        <v>505</v>
      </c>
      <c r="J379" s="11" t="s">
        <v>506</v>
      </c>
      <c r="K379" s="11" t="s">
        <v>507</v>
      </c>
      <c r="L379" s="11" t="s">
        <v>508</v>
      </c>
      <c r="M379" s="11"/>
      <c r="N379" s="11" t="s">
        <v>711</v>
      </c>
    </row>
    <row r="380" spans="1:14" ht="12" customHeight="1">
      <c r="A380" t="s">
        <v>671</v>
      </c>
      <c r="B380" t="s">
        <v>672</v>
      </c>
      <c r="C380">
        <v>3.3</v>
      </c>
      <c r="D380">
        <v>3.1</v>
      </c>
      <c r="E380">
        <v>2.2</v>
      </c>
      <c r="F380">
        <v>2.4</v>
      </c>
      <c r="H380">
        <v>3.1</v>
      </c>
      <c r="I380">
        <v>4</v>
      </c>
      <c r="J380">
        <v>4.1</v>
      </c>
      <c r="K380">
        <v>3.3</v>
      </c>
      <c r="L380">
        <v>2.9</v>
      </c>
      <c r="N380">
        <f>SUM(C380:L380)</f>
        <v>28.400000000000002</v>
      </c>
    </row>
    <row r="381" spans="1:14" ht="12" customHeight="1">
      <c r="A381" t="s">
        <v>673</v>
      </c>
      <c r="C381">
        <v>3.2</v>
      </c>
      <c r="D381">
        <v>3</v>
      </c>
      <c r="E381">
        <v>2</v>
      </c>
      <c r="F381">
        <v>1.9</v>
      </c>
      <c r="H381">
        <v>2.5</v>
      </c>
      <c r="I381">
        <v>3.1</v>
      </c>
      <c r="J381">
        <v>3.3</v>
      </c>
      <c r="K381">
        <v>3.1</v>
      </c>
      <c r="L381">
        <v>2.7</v>
      </c>
      <c r="N381">
        <f>SUM(C381:L381)</f>
        <v>24.8</v>
      </c>
    </row>
    <row r="382" spans="1:14" ht="12" customHeight="1">
      <c r="A382" t="s">
        <v>674</v>
      </c>
      <c r="C382">
        <v>3.2</v>
      </c>
      <c r="D382">
        <v>3.1</v>
      </c>
      <c r="E382">
        <v>2</v>
      </c>
      <c r="F382">
        <v>2</v>
      </c>
      <c r="H382">
        <v>2.7</v>
      </c>
      <c r="I382">
        <v>3.3</v>
      </c>
      <c r="J382">
        <v>3.5</v>
      </c>
      <c r="K382">
        <v>3.1</v>
      </c>
      <c r="L382">
        <v>2.7</v>
      </c>
      <c r="N382">
        <f>SUM(C382:L382)</f>
        <v>25.6</v>
      </c>
    </row>
    <row r="383" spans="1:14" ht="12.75">
      <c r="A383" t="s">
        <v>675</v>
      </c>
      <c r="C383" s="23">
        <f>SUM(C380:C382)/3</f>
        <v>3.233333333333333</v>
      </c>
      <c r="D383" s="23">
        <f>SUM(D380:D382)/3</f>
        <v>3.0666666666666664</v>
      </c>
      <c r="E383" s="23">
        <f>SUM(E380:E382)/3</f>
        <v>2.066666666666667</v>
      </c>
      <c r="F383">
        <f>SUM(F380:F382)/3</f>
        <v>2.1</v>
      </c>
      <c r="G383" s="23"/>
      <c r="H383" s="23">
        <f>SUM(H380:H382)/3</f>
        <v>2.766666666666667</v>
      </c>
      <c r="I383" s="23">
        <f>SUM(I380:I382)/3</f>
        <v>3.4666666666666663</v>
      </c>
      <c r="J383" s="23">
        <f>SUM(J380:J382)/3</f>
        <v>3.633333333333333</v>
      </c>
      <c r="K383" s="23">
        <f>SUM(K380:K382)/3</f>
        <v>3.1666666666666665</v>
      </c>
      <c r="L383" s="23">
        <f>SUM(L380:L382)/3</f>
        <v>2.766666666666667</v>
      </c>
      <c r="N383" s="23">
        <f>SUM(C383:L383)</f>
        <v>26.266666666666666</v>
      </c>
    </row>
    <row r="384" spans="1:14" ht="12.75">
      <c r="A384" t="s">
        <v>275</v>
      </c>
      <c r="B384" t="s">
        <v>676</v>
      </c>
      <c r="C384" s="24">
        <f>C383*317</f>
        <v>1024.9666666666665</v>
      </c>
      <c r="D384" s="24">
        <f>D383*317</f>
        <v>972.1333333333332</v>
      </c>
      <c r="E384" s="24">
        <f>E383*317</f>
        <v>655.1333333333334</v>
      </c>
      <c r="F384" s="24">
        <f>F383*317</f>
        <v>665.7</v>
      </c>
      <c r="H384" s="24">
        <f>H383*317</f>
        <v>877.0333333333334</v>
      </c>
      <c r="I384" s="24">
        <f>I383*317</f>
        <v>1098.9333333333332</v>
      </c>
      <c r="J384" s="24">
        <f>J383*317</f>
        <v>1151.7666666666664</v>
      </c>
      <c r="K384" s="24">
        <f>K383*317</f>
        <v>1003.8333333333333</v>
      </c>
      <c r="L384" s="24">
        <f>L383*317</f>
        <v>877.0333333333334</v>
      </c>
      <c r="N384" s="24">
        <f>SUM(C384:L384)</f>
        <v>8326.533333333333</v>
      </c>
    </row>
    <row r="385" ht="12.75">
      <c r="O385" s="21"/>
    </row>
    <row r="386" spans="3:12" ht="12.75">
      <c r="C386" s="24"/>
      <c r="D386" s="24"/>
      <c r="E386" s="24"/>
      <c r="F386" s="24"/>
      <c r="H386" s="24"/>
      <c r="I386" s="24"/>
      <c r="J386" s="24"/>
      <c r="K386" s="24"/>
      <c r="L386" s="24"/>
    </row>
    <row r="387" spans="1:15" ht="12.75">
      <c r="A387" t="s">
        <v>221</v>
      </c>
      <c r="B387" t="str">
        <f>B384</f>
        <v>Btu/sqft/day</v>
      </c>
      <c r="C387" s="24">
        <v>1014</v>
      </c>
      <c r="D387" s="24">
        <v>1014</v>
      </c>
      <c r="E387" s="24">
        <v>761</v>
      </c>
      <c r="F387" s="24">
        <v>840</v>
      </c>
      <c r="H387" s="24">
        <v>1030</v>
      </c>
      <c r="I387" s="24">
        <v>1284</v>
      </c>
      <c r="J387" s="24">
        <v>1284</v>
      </c>
      <c r="K387" s="24">
        <v>983</v>
      </c>
      <c r="L387" s="24">
        <v>903</v>
      </c>
      <c r="N387" s="24">
        <f>SUM(C387:L387)</f>
        <v>9113</v>
      </c>
      <c r="O387" s="21"/>
    </row>
    <row r="388" spans="1:14" ht="12.75">
      <c r="A388" t="s">
        <v>222</v>
      </c>
      <c r="B388" t="str">
        <f>B384</f>
        <v>Btu/sqft/day</v>
      </c>
      <c r="C388" s="24">
        <v>1015</v>
      </c>
      <c r="D388" s="24">
        <v>1015</v>
      </c>
      <c r="E388" s="24">
        <v>761</v>
      </c>
      <c r="F388" s="24">
        <v>840</v>
      </c>
      <c r="H388" s="24">
        <v>1031</v>
      </c>
      <c r="I388" s="24">
        <v>1316</v>
      </c>
      <c r="J388" s="24">
        <v>1268</v>
      </c>
      <c r="K388" s="24">
        <v>983</v>
      </c>
      <c r="L388" s="24">
        <v>888</v>
      </c>
      <c r="N388" s="24">
        <f>SUM(C388:L388)</f>
        <v>9117</v>
      </c>
    </row>
    <row r="391" ht="12.75">
      <c r="C391" t="s">
        <v>440</v>
      </c>
    </row>
    <row r="393" spans="2:15" ht="12.75">
      <c r="B393" s="1" t="s">
        <v>292</v>
      </c>
      <c r="O393" s="83" t="s">
        <v>230</v>
      </c>
    </row>
    <row r="394" spans="15:16" ht="12.75">
      <c r="O394" s="11" t="s">
        <v>293</v>
      </c>
      <c r="P394" s="11" t="s">
        <v>294</v>
      </c>
    </row>
    <row r="395" spans="1:16" ht="12.75">
      <c r="A395" t="s">
        <v>77</v>
      </c>
      <c r="O395" s="81">
        <v>0.23055555555555554</v>
      </c>
      <c r="P395">
        <v>157</v>
      </c>
    </row>
    <row r="396" spans="1:16" ht="12.75">
      <c r="A396" t="s">
        <v>260</v>
      </c>
      <c r="O396" s="81">
        <v>0.2375</v>
      </c>
      <c r="P396">
        <v>146</v>
      </c>
    </row>
    <row r="397" spans="1:17" ht="12.75">
      <c r="A397" t="s">
        <v>261</v>
      </c>
      <c r="O397" s="81">
        <v>0.24375</v>
      </c>
      <c r="P397">
        <v>146</v>
      </c>
      <c r="Q397" s="19" t="s">
        <v>411</v>
      </c>
    </row>
    <row r="398" spans="15:17" ht="12.75">
      <c r="O398" s="81">
        <v>0.25277777777777777</v>
      </c>
      <c r="P398">
        <v>146</v>
      </c>
      <c r="Q398" s="19" t="s">
        <v>411</v>
      </c>
    </row>
    <row r="399" spans="1:17" ht="12.75">
      <c r="A399" t="s">
        <v>78</v>
      </c>
      <c r="O399" s="81">
        <v>0.2652777777777778</v>
      </c>
      <c r="P399">
        <v>146</v>
      </c>
      <c r="Q399" s="19" t="s">
        <v>411</v>
      </c>
    </row>
    <row r="400" spans="1:17" ht="12.75">
      <c r="A400" t="s">
        <v>262</v>
      </c>
      <c r="O400" s="81">
        <v>0.2743055555555555</v>
      </c>
      <c r="P400">
        <v>148</v>
      </c>
      <c r="Q400" s="19" t="s">
        <v>412</v>
      </c>
    </row>
    <row r="401" spans="1:17" ht="12.75">
      <c r="A401" t="s">
        <v>44</v>
      </c>
      <c r="O401" s="81">
        <v>0.28125</v>
      </c>
      <c r="P401">
        <v>148</v>
      </c>
      <c r="Q401" s="19" t="s">
        <v>412</v>
      </c>
    </row>
    <row r="402" spans="15:17" ht="12.75">
      <c r="O402" s="81">
        <v>0.28402777777777777</v>
      </c>
      <c r="P402">
        <v>146</v>
      </c>
      <c r="Q402" s="19" t="s">
        <v>411</v>
      </c>
    </row>
    <row r="403" spans="1:16" ht="12.75">
      <c r="A403" t="s">
        <v>79</v>
      </c>
      <c r="O403" s="81">
        <v>0.28958333333333336</v>
      </c>
      <c r="P403">
        <v>149</v>
      </c>
    </row>
    <row r="404" spans="1:16" ht="12.75">
      <c r="A404" t="s">
        <v>270</v>
      </c>
      <c r="O404" s="81">
        <v>0.2965277777777778</v>
      </c>
      <c r="P404">
        <v>149</v>
      </c>
    </row>
    <row r="405" ht="12.75">
      <c r="O405" t="s">
        <v>241</v>
      </c>
    </row>
    <row r="406" spans="1:15" ht="12.75">
      <c r="A406" t="s">
        <v>80</v>
      </c>
      <c r="O406" t="s">
        <v>242</v>
      </c>
    </row>
    <row r="407" spans="1:16" ht="12.75">
      <c r="A407" t="s">
        <v>104</v>
      </c>
      <c r="O407" t="s">
        <v>243</v>
      </c>
      <c r="P407" s="11"/>
    </row>
    <row r="408" spans="15:17" ht="12.75">
      <c r="O408" s="11"/>
      <c r="P408" s="77"/>
      <c r="Q408" s="13"/>
    </row>
    <row r="409" spans="1:17" ht="12.75">
      <c r="A409" t="s">
        <v>105</v>
      </c>
      <c r="O409" s="11"/>
      <c r="P409" s="77"/>
      <c r="Q409" s="92"/>
    </row>
    <row r="410" ht="12.75">
      <c r="A410" t="s">
        <v>240</v>
      </c>
    </row>
    <row r="411" spans="1:17" ht="12.75">
      <c r="A411" t="s">
        <v>228</v>
      </c>
      <c r="O411" s="11"/>
      <c r="P411" s="77"/>
      <c r="Q411" s="13"/>
    </row>
    <row r="412" spans="1:17" ht="12.75">
      <c r="A412" t="s">
        <v>271</v>
      </c>
      <c r="O412" s="11"/>
      <c r="P412" s="77"/>
      <c r="Q412" s="13"/>
    </row>
    <row r="414" spans="1:2" ht="12.75">
      <c r="A414" t="s">
        <v>106</v>
      </c>
      <c r="B414" t="s">
        <v>122</v>
      </c>
    </row>
    <row r="415" spans="2:12" ht="12.75">
      <c r="B415" t="s">
        <v>107</v>
      </c>
      <c r="E415" t="s">
        <v>125</v>
      </c>
      <c r="L415" t="s">
        <v>313</v>
      </c>
    </row>
    <row r="416" spans="2:12" ht="12.75">
      <c r="B416" t="s">
        <v>108</v>
      </c>
      <c r="L416" t="s">
        <v>314</v>
      </c>
    </row>
    <row r="417" spans="3:12" ht="12.75">
      <c r="C417" t="s">
        <v>126</v>
      </c>
      <c r="L417" t="s">
        <v>315</v>
      </c>
    </row>
    <row r="418" spans="3:13" ht="12.75">
      <c r="C418" t="s">
        <v>127</v>
      </c>
      <c r="E418" t="s">
        <v>118</v>
      </c>
      <c r="G418" t="s">
        <v>116</v>
      </c>
      <c r="J418" s="47">
        <v>152</v>
      </c>
      <c r="K418" t="s">
        <v>109</v>
      </c>
      <c r="L418" t="s">
        <v>316</v>
      </c>
      <c r="M418" s="24"/>
    </row>
    <row r="419" spans="2:14" ht="12.75">
      <c r="B419" t="s">
        <v>237</v>
      </c>
      <c r="C419" s="47">
        <v>5</v>
      </c>
      <c r="D419" s="103">
        <v>32</v>
      </c>
      <c r="E419" s="22">
        <f>C419+(D419/60)</f>
        <v>5.533333333333333</v>
      </c>
      <c r="G419" t="s">
        <v>110</v>
      </c>
      <c r="J419" s="47">
        <v>149</v>
      </c>
      <c r="K419" t="str">
        <f>K418</f>
        <v>&lt;&lt;</v>
      </c>
      <c r="L419" t="s">
        <v>239</v>
      </c>
      <c r="N419" s="24"/>
    </row>
    <row r="420" spans="2:11" ht="12.75">
      <c r="B420" t="s">
        <v>238</v>
      </c>
      <c r="C420" s="47">
        <v>7</v>
      </c>
      <c r="D420" s="103">
        <v>7</v>
      </c>
      <c r="E420" s="22">
        <f>C420+(D420/60)</f>
        <v>7.116666666666666</v>
      </c>
      <c r="G420" t="s">
        <v>236</v>
      </c>
      <c r="J420" s="22">
        <f>E420-E419</f>
        <v>1.583333333333333</v>
      </c>
      <c r="K420" t="str">
        <f>K418</f>
        <v>&lt;&lt;</v>
      </c>
    </row>
    <row r="421" spans="4:12" ht="12.75">
      <c r="D421" s="11"/>
      <c r="G421" t="s">
        <v>130</v>
      </c>
      <c r="J421" s="24">
        <f>O96-N96</f>
        <v>22782.386598</v>
      </c>
      <c r="K421" t="str">
        <f>K418</f>
        <v>&lt;&lt;</v>
      </c>
      <c r="L421" t="s">
        <v>235</v>
      </c>
    </row>
    <row r="422" spans="6:8" ht="12.75">
      <c r="F422" t="s">
        <v>117</v>
      </c>
      <c r="H422">
        <f>J419/J418</f>
        <v>0.9802631578947368</v>
      </c>
    </row>
    <row r="423" spans="6:10" ht="12.75">
      <c r="F423" t="s">
        <v>111</v>
      </c>
      <c r="H423" s="21">
        <f>LN(H422)</f>
        <v>-0.019934214900817253</v>
      </c>
      <c r="J423" s="14" t="s">
        <v>272</v>
      </c>
    </row>
    <row r="424" spans="3:9" ht="12.75">
      <c r="C424" t="s">
        <v>124</v>
      </c>
      <c r="E424" s="21">
        <f>-1*J420/H423</f>
        <v>79.4279253640644</v>
      </c>
      <c r="F424" t="s">
        <v>121</v>
      </c>
      <c r="I424" s="1" t="s">
        <v>229</v>
      </c>
    </row>
    <row r="425" ht="12.75">
      <c r="B425" t="s">
        <v>123</v>
      </c>
    </row>
    <row r="426" spans="2:10" ht="12.75">
      <c r="B426" s="15" t="s">
        <v>128</v>
      </c>
      <c r="C426" s="28">
        <f>J421/(60*E424)</f>
        <v>4.7805156884003255</v>
      </c>
      <c r="D426" s="1" t="s">
        <v>129</v>
      </c>
      <c r="E426" s="26">
        <f>C426*60/J421</f>
        <v>0.012590030463674054</v>
      </c>
      <c r="F426" s="1" t="s">
        <v>245</v>
      </c>
      <c r="J426" t="s">
        <v>244</v>
      </c>
    </row>
    <row r="427" spans="2:10" ht="12.75">
      <c r="B427" s="15" t="s">
        <v>128</v>
      </c>
      <c r="C427" s="28">
        <f>C426*1.2</f>
        <v>5.736618826080391</v>
      </c>
      <c r="D427" s="1" t="str">
        <f>D426</f>
        <v>cfm or </v>
      </c>
      <c r="E427" s="26">
        <f>E426*1.2</f>
        <v>0.015108036556408865</v>
      </c>
      <c r="F427" s="1" t="s">
        <v>246</v>
      </c>
      <c r="J427" t="s">
        <v>247</v>
      </c>
    </row>
    <row r="428" spans="2:6" ht="12.75">
      <c r="B428" s="15"/>
      <c r="C428" s="28"/>
      <c r="D428" s="1"/>
      <c r="E428" s="26"/>
      <c r="F428" s="1"/>
    </row>
    <row r="429" spans="2:6" ht="12.75">
      <c r="B429" s="15"/>
      <c r="C429" s="25"/>
      <c r="D429" s="1"/>
      <c r="E429" s="78" t="s">
        <v>467</v>
      </c>
      <c r="F429" s="1"/>
    </row>
    <row r="430" spans="2:6" ht="12.75">
      <c r="B430" s="15"/>
      <c r="C430" s="25"/>
      <c r="D430" s="1"/>
      <c r="E430" s="78"/>
      <c r="F430" s="1"/>
    </row>
    <row r="431" ht="12.75">
      <c r="A431" s="1" t="s">
        <v>466</v>
      </c>
    </row>
    <row r="432" ht="12.75">
      <c r="A432" s="1"/>
    </row>
    <row r="433" spans="1:20" ht="12.75">
      <c r="A433" s="15" t="s">
        <v>456</v>
      </c>
      <c r="B433" s="1" t="s">
        <v>248</v>
      </c>
      <c r="C433" s="1"/>
      <c r="D433" s="1"/>
      <c r="E433" s="1"/>
      <c r="F433" s="1"/>
      <c r="G433" s="1"/>
      <c r="H433" s="1"/>
      <c r="I433" s="1"/>
      <c r="J433" s="1"/>
      <c r="K433" s="1"/>
      <c r="L433" s="1"/>
      <c r="M433" s="1"/>
      <c r="N433" s="1"/>
      <c r="O433" s="4"/>
      <c r="P433" s="4"/>
      <c r="Q433" s="4"/>
      <c r="R433" s="4"/>
      <c r="S433" s="4"/>
      <c r="T433" s="4"/>
    </row>
    <row r="434" spans="1:20" ht="12.75">
      <c r="A434" s="15"/>
      <c r="B434" s="1"/>
      <c r="C434" s="1"/>
      <c r="D434" s="1"/>
      <c r="E434" s="1"/>
      <c r="F434" s="1"/>
      <c r="G434" s="1"/>
      <c r="H434" s="1"/>
      <c r="I434" s="1"/>
      <c r="J434" s="1"/>
      <c r="K434" s="1"/>
      <c r="L434" s="1"/>
      <c r="M434" s="1"/>
      <c r="N434" s="1"/>
      <c r="O434" s="4"/>
      <c r="P434" s="4"/>
      <c r="Q434" s="4"/>
      <c r="R434" s="4"/>
      <c r="S434" s="4"/>
      <c r="T434" s="4"/>
    </row>
    <row r="435" spans="1:20" ht="12.75">
      <c r="A435" s="15" t="s">
        <v>457</v>
      </c>
      <c r="B435" s="1" t="s">
        <v>405</v>
      </c>
      <c r="C435" s="1"/>
      <c r="D435" s="1"/>
      <c r="E435" s="1"/>
      <c r="F435" s="1"/>
      <c r="G435" s="1"/>
      <c r="H435" s="1"/>
      <c r="I435" s="1"/>
      <c r="J435" s="1"/>
      <c r="K435" s="1"/>
      <c r="L435" s="1"/>
      <c r="M435" s="1"/>
      <c r="N435" s="1"/>
      <c r="O435" s="4"/>
      <c r="P435" s="4"/>
      <c r="Q435" s="4"/>
      <c r="R435" s="4"/>
      <c r="S435" s="4"/>
      <c r="T435" s="4"/>
    </row>
    <row r="436" spans="1:20" ht="12.75">
      <c r="A436" s="15"/>
      <c r="B436" s="1"/>
      <c r="C436" s="1"/>
      <c r="D436" s="1"/>
      <c r="E436" s="1"/>
      <c r="F436" s="1"/>
      <c r="G436" s="1"/>
      <c r="H436" s="1"/>
      <c r="I436" s="1"/>
      <c r="J436" s="1"/>
      <c r="K436" s="1"/>
      <c r="L436" s="1"/>
      <c r="M436" s="1"/>
      <c r="N436" s="1"/>
      <c r="O436" s="4"/>
      <c r="P436" s="4"/>
      <c r="Q436" s="4"/>
      <c r="R436" s="4"/>
      <c r="S436" s="4"/>
      <c r="T436" s="4"/>
    </row>
    <row r="437" spans="1:20" ht="12.75">
      <c r="A437" s="15" t="s">
        <v>458</v>
      </c>
      <c r="B437" s="1" t="s">
        <v>317</v>
      </c>
      <c r="C437" s="1"/>
      <c r="D437" s="1"/>
      <c r="E437" s="1"/>
      <c r="F437" s="1"/>
      <c r="G437" s="1"/>
      <c r="H437" s="1"/>
      <c r="I437" s="1"/>
      <c r="J437" s="1"/>
      <c r="K437" s="1"/>
      <c r="L437" s="1"/>
      <c r="M437" s="1"/>
      <c r="N437" s="1"/>
      <c r="O437" s="4"/>
      <c r="P437" s="4"/>
      <c r="Q437" s="4"/>
      <c r="R437" s="60"/>
      <c r="S437" s="60"/>
      <c r="T437" s="4"/>
    </row>
    <row r="438" spans="1:20" ht="12.75">
      <c r="A438" s="15"/>
      <c r="B438" s="1"/>
      <c r="C438" s="1"/>
      <c r="D438" s="1"/>
      <c r="E438" s="1"/>
      <c r="F438" s="1"/>
      <c r="G438" s="1"/>
      <c r="H438" s="1"/>
      <c r="I438" s="1"/>
      <c r="J438" s="1"/>
      <c r="K438" s="1"/>
      <c r="L438" s="1"/>
      <c r="M438" s="1"/>
      <c r="N438" s="1"/>
      <c r="O438" s="4"/>
      <c r="P438" s="4"/>
      <c r="Q438" s="4"/>
      <c r="R438" s="60"/>
      <c r="S438" s="60"/>
      <c r="T438" s="4"/>
    </row>
    <row r="439" spans="1:20" ht="12.75">
      <c r="A439" s="15" t="s">
        <v>459</v>
      </c>
      <c r="B439" s="1" t="s">
        <v>462</v>
      </c>
      <c r="C439" s="1"/>
      <c r="D439" s="1"/>
      <c r="E439" s="1"/>
      <c r="F439" s="1"/>
      <c r="G439" s="1"/>
      <c r="H439" s="1"/>
      <c r="I439" s="1"/>
      <c r="J439" s="1"/>
      <c r="K439" s="1"/>
      <c r="L439" s="1"/>
      <c r="M439" s="1"/>
      <c r="N439" s="1"/>
      <c r="O439" s="1"/>
      <c r="P439" s="1"/>
      <c r="Q439" s="4"/>
      <c r="R439" s="60"/>
      <c r="S439" s="60"/>
      <c r="T439" s="4"/>
    </row>
    <row r="440" spans="1:20" ht="12.75">
      <c r="A440" s="15"/>
      <c r="B440" s="1" t="s">
        <v>0</v>
      </c>
      <c r="C440" s="1"/>
      <c r="D440" s="1"/>
      <c r="E440" s="1"/>
      <c r="F440" s="1"/>
      <c r="G440" s="1"/>
      <c r="H440" s="1"/>
      <c r="I440" s="1"/>
      <c r="J440" s="1"/>
      <c r="K440" s="1"/>
      <c r="L440" s="1"/>
      <c r="M440" s="1"/>
      <c r="N440" s="1"/>
      <c r="O440" s="1"/>
      <c r="P440" s="1"/>
      <c r="Q440" s="4"/>
      <c r="R440" s="60"/>
      <c r="S440" s="60"/>
      <c r="T440" s="4"/>
    </row>
    <row r="441" spans="2:20" ht="12.75">
      <c r="B441" s="1" t="s">
        <v>267</v>
      </c>
      <c r="C441" s="1"/>
      <c r="D441" s="1"/>
      <c r="E441" s="1"/>
      <c r="F441" s="1"/>
      <c r="G441" s="1"/>
      <c r="H441" s="1"/>
      <c r="I441" s="1"/>
      <c r="J441" s="1"/>
      <c r="K441" s="1"/>
      <c r="L441" s="1"/>
      <c r="M441" s="1"/>
      <c r="N441" s="1"/>
      <c r="O441" s="1"/>
      <c r="P441" s="1"/>
      <c r="Q441" s="4"/>
      <c r="R441" s="60"/>
      <c r="S441" s="60"/>
      <c r="T441" s="4"/>
    </row>
    <row r="442" spans="2:20" ht="12.75">
      <c r="B442" s="1" t="s">
        <v>326</v>
      </c>
      <c r="C442" s="1"/>
      <c r="D442" s="1"/>
      <c r="E442" s="1"/>
      <c r="F442" s="1"/>
      <c r="G442" s="1"/>
      <c r="H442" s="1"/>
      <c r="I442" s="1"/>
      <c r="J442" s="1"/>
      <c r="K442" s="1"/>
      <c r="L442" s="1"/>
      <c r="M442" s="1"/>
      <c r="N442" s="1"/>
      <c r="O442" s="1"/>
      <c r="P442" s="1"/>
      <c r="Q442" s="4"/>
      <c r="R442" s="60"/>
      <c r="S442" s="60"/>
      <c r="T442" s="4"/>
    </row>
    <row r="443" spans="2:20" ht="12.75">
      <c r="B443" s="1" t="s">
        <v>325</v>
      </c>
      <c r="C443" s="1"/>
      <c r="D443" s="1"/>
      <c r="E443" s="1"/>
      <c r="F443" s="1"/>
      <c r="G443" s="1"/>
      <c r="H443" s="1"/>
      <c r="I443" s="1"/>
      <c r="J443" s="1"/>
      <c r="K443" s="1"/>
      <c r="L443" s="1"/>
      <c r="M443" s="1"/>
      <c r="N443" s="1"/>
      <c r="O443" s="4"/>
      <c r="P443" s="4"/>
      <c r="Q443" s="4"/>
      <c r="R443" s="60"/>
      <c r="S443" s="60"/>
      <c r="T443" s="4"/>
    </row>
    <row r="444" spans="2:20" ht="12.75">
      <c r="B444" s="1" t="s">
        <v>324</v>
      </c>
      <c r="C444" s="1"/>
      <c r="D444" s="1"/>
      <c r="E444" s="1"/>
      <c r="F444" s="1"/>
      <c r="G444" s="1"/>
      <c r="H444" s="1"/>
      <c r="I444" s="1"/>
      <c r="J444" s="1"/>
      <c r="K444" s="1"/>
      <c r="L444" s="1"/>
      <c r="M444" s="1"/>
      <c r="N444" s="1"/>
      <c r="O444" s="4"/>
      <c r="P444" s="4"/>
      <c r="Q444" s="4"/>
      <c r="R444" s="60"/>
      <c r="S444" s="60"/>
      <c r="T444" s="4"/>
    </row>
    <row r="445" spans="2:20" ht="12.75">
      <c r="B445" s="1"/>
      <c r="C445" s="1"/>
      <c r="D445" s="1"/>
      <c r="E445" s="1"/>
      <c r="F445" s="1"/>
      <c r="G445" s="1"/>
      <c r="H445" s="1"/>
      <c r="I445" s="1"/>
      <c r="J445" s="1"/>
      <c r="K445" s="1"/>
      <c r="L445" s="1"/>
      <c r="M445" s="1"/>
      <c r="N445" s="1"/>
      <c r="O445" s="4"/>
      <c r="P445" s="4"/>
      <c r="Q445" s="4"/>
      <c r="R445" s="60"/>
      <c r="S445" s="60"/>
      <c r="T445" s="4"/>
    </row>
    <row r="446" spans="1:20" ht="12.75">
      <c r="A446" s="15" t="s">
        <v>468</v>
      </c>
      <c r="B446" s="1" t="s">
        <v>180</v>
      </c>
      <c r="C446" s="1"/>
      <c r="D446" s="1"/>
      <c r="E446" s="1"/>
      <c r="F446" s="1"/>
      <c r="G446" s="1"/>
      <c r="H446" s="1"/>
      <c r="I446" s="1"/>
      <c r="J446" s="1"/>
      <c r="K446" s="1"/>
      <c r="L446" s="1"/>
      <c r="M446" s="1"/>
      <c r="N446" s="1"/>
      <c r="O446" s="4"/>
      <c r="P446" s="4"/>
      <c r="Q446" s="4"/>
      <c r="R446" s="60"/>
      <c r="S446" s="60"/>
      <c r="T446" s="4"/>
    </row>
    <row r="447" spans="1:20" ht="12.75">
      <c r="A447" s="15"/>
      <c r="B447" s="1"/>
      <c r="C447" s="1"/>
      <c r="D447" s="1"/>
      <c r="E447" s="1"/>
      <c r="F447" s="1"/>
      <c r="G447" s="1"/>
      <c r="H447" s="1"/>
      <c r="I447" s="1"/>
      <c r="J447" s="1"/>
      <c r="K447" s="1"/>
      <c r="L447" s="1"/>
      <c r="M447" s="1"/>
      <c r="N447" s="1"/>
      <c r="O447" s="4"/>
      <c r="P447" s="4"/>
      <c r="Q447" s="4"/>
      <c r="R447" s="60"/>
      <c r="S447" s="60"/>
      <c r="T447" s="4"/>
    </row>
    <row r="448" spans="1:20" ht="12.75">
      <c r="A448" s="15" t="s">
        <v>469</v>
      </c>
      <c r="B448" s="1" t="s">
        <v>395</v>
      </c>
      <c r="C448" s="1"/>
      <c r="D448" s="1"/>
      <c r="E448" s="1"/>
      <c r="F448" s="1"/>
      <c r="G448" s="1"/>
      <c r="H448" s="1"/>
      <c r="I448" s="1"/>
      <c r="J448" s="1"/>
      <c r="K448" s="1"/>
      <c r="L448" s="1"/>
      <c r="M448" s="1"/>
      <c r="N448" s="1"/>
      <c r="O448" s="4"/>
      <c r="P448" s="4"/>
      <c r="Q448" s="4"/>
      <c r="R448" s="60"/>
      <c r="S448" s="60"/>
      <c r="T448" s="4"/>
    </row>
    <row r="449" spans="1:20" ht="12.75">
      <c r="A449" s="15"/>
      <c r="B449" s="1"/>
      <c r="C449" s="1"/>
      <c r="D449" s="1"/>
      <c r="E449" s="1"/>
      <c r="F449" s="1"/>
      <c r="G449" s="1"/>
      <c r="H449" s="1"/>
      <c r="I449" s="1"/>
      <c r="J449" s="1"/>
      <c r="K449" s="1"/>
      <c r="L449" s="1"/>
      <c r="M449" s="1"/>
      <c r="N449" s="1"/>
      <c r="O449" s="4"/>
      <c r="P449" s="4"/>
      <c r="Q449" s="4"/>
      <c r="R449" s="60"/>
      <c r="S449" s="60"/>
      <c r="T449" s="4"/>
    </row>
    <row r="450" spans="1:20" ht="12.75">
      <c r="A450" s="15" t="s">
        <v>470</v>
      </c>
      <c r="B450" s="1" t="s">
        <v>334</v>
      </c>
      <c r="C450" s="1"/>
      <c r="D450" s="1"/>
      <c r="E450" s="1"/>
      <c r="F450" s="1"/>
      <c r="G450" s="1"/>
      <c r="H450" s="1"/>
      <c r="I450" s="1"/>
      <c r="J450" s="1"/>
      <c r="K450" s="1"/>
      <c r="L450" s="1"/>
      <c r="M450" s="1"/>
      <c r="N450" s="1"/>
      <c r="O450" s="1"/>
      <c r="P450" s="4"/>
      <c r="Q450" s="4"/>
      <c r="R450" s="60"/>
      <c r="S450" s="60"/>
      <c r="T450" s="4"/>
    </row>
    <row r="451" spans="2:20" ht="12.75">
      <c r="B451" s="1" t="s">
        <v>396</v>
      </c>
      <c r="C451" s="1"/>
      <c r="D451" s="1"/>
      <c r="E451" s="1"/>
      <c r="F451" s="1"/>
      <c r="G451" s="1"/>
      <c r="H451" s="1"/>
      <c r="I451" s="1"/>
      <c r="J451" s="1"/>
      <c r="K451" s="1"/>
      <c r="L451" s="1"/>
      <c r="M451" s="1"/>
      <c r="N451" s="1"/>
      <c r="O451" s="1"/>
      <c r="P451" s="4"/>
      <c r="Q451" s="4"/>
      <c r="R451" s="60"/>
      <c r="S451" s="60"/>
      <c r="T451" s="4"/>
    </row>
    <row r="452" spans="2:20" ht="12.75">
      <c r="B452" s="1" t="s">
        <v>327</v>
      </c>
      <c r="C452" s="1"/>
      <c r="D452" s="1"/>
      <c r="E452" s="1"/>
      <c r="F452" s="1"/>
      <c r="G452" s="1"/>
      <c r="H452" s="1"/>
      <c r="I452" s="1"/>
      <c r="J452" s="1"/>
      <c r="K452" s="1"/>
      <c r="L452" s="1"/>
      <c r="M452" s="1"/>
      <c r="N452" s="1"/>
      <c r="O452" s="1"/>
      <c r="P452" s="4"/>
      <c r="Q452" s="4"/>
      <c r="R452" s="60"/>
      <c r="S452" s="60"/>
      <c r="T452" s="4"/>
    </row>
    <row r="453" spans="2:20" ht="12.75">
      <c r="B453" s="1"/>
      <c r="C453" s="1"/>
      <c r="D453" s="1"/>
      <c r="E453" s="1"/>
      <c r="F453" s="1"/>
      <c r="G453" s="1"/>
      <c r="H453" s="1"/>
      <c r="I453" s="1"/>
      <c r="J453" s="1"/>
      <c r="K453" s="1"/>
      <c r="L453" s="1"/>
      <c r="M453" s="1"/>
      <c r="N453" s="1"/>
      <c r="O453" s="1"/>
      <c r="P453" s="4"/>
      <c r="Q453" s="4"/>
      <c r="R453" s="60"/>
      <c r="S453" s="60"/>
      <c r="T453" s="4"/>
    </row>
    <row r="454" spans="1:20" ht="12.75">
      <c r="A454" s="15" t="s">
        <v>463</v>
      </c>
      <c r="B454" s="1" t="s">
        <v>464</v>
      </c>
      <c r="C454" s="1"/>
      <c r="D454" s="1"/>
      <c r="E454" s="1"/>
      <c r="F454" s="1"/>
      <c r="G454" s="1"/>
      <c r="H454" s="1"/>
      <c r="I454" s="1"/>
      <c r="J454" s="1"/>
      <c r="K454" s="1"/>
      <c r="L454" s="1"/>
      <c r="M454" s="1"/>
      <c r="N454" s="1"/>
      <c r="O454" s="4"/>
      <c r="P454" s="4"/>
      <c r="Q454" s="4"/>
      <c r="R454" s="4"/>
      <c r="S454" s="4"/>
      <c r="T454" s="4"/>
    </row>
    <row r="455" spans="2:20" ht="12.75">
      <c r="B455" s="1" t="s">
        <v>362</v>
      </c>
      <c r="C455" s="1"/>
      <c r="D455" s="1"/>
      <c r="E455" s="1"/>
      <c r="F455" s="1"/>
      <c r="G455" s="1"/>
      <c r="H455" s="1"/>
      <c r="I455" s="1"/>
      <c r="J455" s="1"/>
      <c r="K455" s="1"/>
      <c r="L455" s="1"/>
      <c r="M455" s="1"/>
      <c r="N455" s="1"/>
      <c r="O455" s="4"/>
      <c r="P455" s="4"/>
      <c r="Q455" s="4"/>
      <c r="R455" s="4"/>
      <c r="S455" s="4"/>
      <c r="T455" s="4"/>
    </row>
    <row r="456" spans="2:20" ht="12.75">
      <c r="B456" s="1"/>
      <c r="C456" s="1"/>
      <c r="D456" s="1"/>
      <c r="E456" s="1"/>
      <c r="F456" s="1"/>
      <c r="G456" s="1"/>
      <c r="H456" s="1"/>
      <c r="I456" s="1"/>
      <c r="J456" s="1"/>
      <c r="K456" s="1"/>
      <c r="L456" s="1"/>
      <c r="M456" s="1"/>
      <c r="N456" s="1"/>
      <c r="O456" s="4"/>
      <c r="P456" s="4"/>
      <c r="Q456" s="4"/>
      <c r="R456" s="4"/>
      <c r="S456" s="4"/>
      <c r="T456" s="4"/>
    </row>
    <row r="457" ht="15.75">
      <c r="A457" s="99" t="s">
        <v>378</v>
      </c>
    </row>
    <row r="458" spans="3:14" ht="12.75">
      <c r="C458" s="15" t="s">
        <v>220</v>
      </c>
      <c r="D458" s="15" t="s">
        <v>197</v>
      </c>
      <c r="E458" s="15" t="s">
        <v>196</v>
      </c>
      <c r="F458" s="15" t="s">
        <v>195</v>
      </c>
      <c r="G458" s="15" t="s">
        <v>191</v>
      </c>
      <c r="H458" s="15" t="s">
        <v>192</v>
      </c>
      <c r="I458" s="15" t="s">
        <v>193</v>
      </c>
      <c r="J458" s="15" t="s">
        <v>194</v>
      </c>
      <c r="K458" s="15" t="s">
        <v>508</v>
      </c>
      <c r="L458" s="97" t="s">
        <v>198</v>
      </c>
      <c r="M458" s="15" t="s">
        <v>199</v>
      </c>
      <c r="N458" s="15" t="s">
        <v>370</v>
      </c>
    </row>
    <row r="459" spans="3:12" ht="12.75">
      <c r="C459" s="80" t="s">
        <v>422</v>
      </c>
      <c r="D459" s="80" t="str">
        <f>C459</f>
        <v>see note 1</v>
      </c>
      <c r="E459" s="11"/>
      <c r="F459" s="66" t="s">
        <v>359</v>
      </c>
      <c r="G459" s="59"/>
      <c r="H459" s="66" t="str">
        <f>F459</f>
        <v>see note 3</v>
      </c>
      <c r="I459" s="66" t="str">
        <f>F459</f>
        <v>see note 3</v>
      </c>
      <c r="J459" s="66"/>
      <c r="K459" s="80"/>
      <c r="L459" s="66"/>
    </row>
    <row r="460" spans="1:11" ht="12.75">
      <c r="A460" s="14" t="s">
        <v>461</v>
      </c>
      <c r="C460" s="11"/>
      <c r="D460" s="80" t="s">
        <v>423</v>
      </c>
      <c r="E460" s="11"/>
      <c r="F460" s="11"/>
      <c r="G460" s="11"/>
      <c r="H460" s="11"/>
      <c r="I460" s="11"/>
      <c r="J460" s="11"/>
      <c r="K460" s="11"/>
    </row>
    <row r="461" spans="1:11" ht="12.75">
      <c r="A461" s="14"/>
      <c r="C461" s="11"/>
      <c r="D461" s="80"/>
      <c r="E461" s="11"/>
      <c r="F461" s="11"/>
      <c r="G461" s="11"/>
      <c r="H461" s="11"/>
      <c r="I461" s="11"/>
      <c r="J461" s="11"/>
      <c r="K461" s="11"/>
    </row>
    <row r="462" spans="1:17" ht="12.75">
      <c r="A462" s="1" t="s">
        <v>471</v>
      </c>
      <c r="C462" s="1">
        <v>0</v>
      </c>
      <c r="D462" s="28">
        <v>159.7</v>
      </c>
      <c r="E462" s="28">
        <v>271.1</v>
      </c>
      <c r="F462" s="28">
        <v>832.3</v>
      </c>
      <c r="G462" s="34">
        <v>606.1</v>
      </c>
      <c r="H462" s="28">
        <v>508</v>
      </c>
      <c r="I462" s="28">
        <v>390.6</v>
      </c>
      <c r="J462" s="1">
        <v>195.5</v>
      </c>
      <c r="K462" s="34">
        <v>0</v>
      </c>
      <c r="L462" s="73">
        <f>SUM(C462:K462)</f>
        <v>2963.2999999999997</v>
      </c>
      <c r="M462" s="28"/>
      <c r="N462" s="25">
        <f>L462</f>
        <v>2963.2999999999997</v>
      </c>
      <c r="O462" s="13" t="s">
        <v>178</v>
      </c>
      <c r="P462" s="27">
        <f>L462/(22000000/6300)</f>
        <v>0.8485813636363636</v>
      </c>
      <c r="Q462" s="1" t="s">
        <v>179</v>
      </c>
    </row>
    <row r="463" spans="1:17" ht="12.75">
      <c r="A463" t="s">
        <v>138</v>
      </c>
      <c r="C463">
        <f>C462*P463</f>
        <v>0</v>
      </c>
      <c r="D463" s="22">
        <f>D462*P463</f>
        <v>1.0061099999999998</v>
      </c>
      <c r="E463" s="22">
        <f>E462*P463</f>
        <v>1.7079300000000002</v>
      </c>
      <c r="F463" s="22">
        <f>F462*P463</f>
        <v>5.2434899999999995</v>
      </c>
      <c r="G463" s="22">
        <f>G462*P463</f>
        <v>3.81843</v>
      </c>
      <c r="H463" s="22">
        <f>H462*P463</f>
        <v>3.2004</v>
      </c>
      <c r="I463" s="22">
        <f>I462*P463</f>
        <v>2.46078</v>
      </c>
      <c r="J463" s="22">
        <f>J462*P463</f>
        <v>1.23165</v>
      </c>
      <c r="K463">
        <f>K462*P463</f>
        <v>0</v>
      </c>
      <c r="L463" s="22">
        <f>SUM(C463:K463)</f>
        <v>18.668789999999998</v>
      </c>
      <c r="N463" s="22">
        <f>L463</f>
        <v>18.668789999999998</v>
      </c>
      <c r="O463" s="13" t="s">
        <v>22</v>
      </c>
      <c r="P463">
        <v>0.0063</v>
      </c>
      <c r="Q463" t="s">
        <v>31</v>
      </c>
    </row>
    <row r="464" spans="1:17" ht="12.75">
      <c r="A464" t="s">
        <v>2</v>
      </c>
      <c r="C464">
        <f>C463*P464</f>
        <v>0</v>
      </c>
      <c r="D464" s="22">
        <f>D463*P464</f>
        <v>0.20122199999999998</v>
      </c>
      <c r="E464" s="22">
        <f>E463*P464</f>
        <v>0.34158600000000006</v>
      </c>
      <c r="F464" s="22">
        <f>F463*P464</f>
        <v>1.048698</v>
      </c>
      <c r="G464" s="22">
        <f>G463*P464</f>
        <v>0.7636860000000001</v>
      </c>
      <c r="H464" s="22">
        <f>H463*P464</f>
        <v>0.6400800000000001</v>
      </c>
      <c r="I464" s="22">
        <f>I463*P464</f>
        <v>0.49215600000000004</v>
      </c>
      <c r="J464" s="22">
        <f>J463*P464</f>
        <v>0.24633</v>
      </c>
      <c r="K464">
        <f>K463*P464</f>
        <v>0</v>
      </c>
      <c r="L464" s="22">
        <f>SUM(C464:K464)</f>
        <v>3.733758</v>
      </c>
      <c r="N464" s="22">
        <f>L464</f>
        <v>3.733758</v>
      </c>
      <c r="O464" t="s">
        <v>23</v>
      </c>
      <c r="P464">
        <v>0.2</v>
      </c>
      <c r="Q464" t="s">
        <v>11</v>
      </c>
    </row>
    <row r="465" spans="1:17" ht="12.75">
      <c r="A465" t="s">
        <v>218</v>
      </c>
      <c r="C465">
        <v>0</v>
      </c>
      <c r="D465" s="22">
        <f>D463*0.72</f>
        <v>0.7243991999999999</v>
      </c>
      <c r="E465" s="22">
        <f>E463*0.72</f>
        <v>1.2297096</v>
      </c>
      <c r="F465" s="22">
        <f>3769/1000</f>
        <v>3.769</v>
      </c>
      <c r="G465" s="22">
        <f>G463*0.72</f>
        <v>2.7492696</v>
      </c>
      <c r="H465" s="22">
        <f>H463*0.72</f>
        <v>2.304288</v>
      </c>
      <c r="I465" s="22">
        <f>I463*0.72</f>
        <v>1.7717616</v>
      </c>
      <c r="J465" s="22">
        <f>J463*0.72</f>
        <v>0.8867879999999999</v>
      </c>
      <c r="K465">
        <v>0</v>
      </c>
      <c r="L465" s="22">
        <f>SUM(C465:K465)</f>
        <v>13.435215999999999</v>
      </c>
      <c r="N465" s="22">
        <f>L465</f>
        <v>13.435215999999999</v>
      </c>
      <c r="O465" s="13" t="s">
        <v>16</v>
      </c>
      <c r="P465">
        <v>0.72</v>
      </c>
      <c r="Q465" t="s">
        <v>15</v>
      </c>
    </row>
    <row r="466" ht="12.75">
      <c r="F466" s="22"/>
    </row>
    <row r="467" spans="1:15" ht="12.75">
      <c r="A467" s="1" t="s">
        <v>460</v>
      </c>
      <c r="C467">
        <v>0</v>
      </c>
      <c r="D467">
        <v>0</v>
      </c>
      <c r="E467" s="23">
        <v>11</v>
      </c>
      <c r="F467" s="23">
        <v>31.25</v>
      </c>
      <c r="G467" s="23">
        <v>4.5</v>
      </c>
      <c r="H467" s="23">
        <v>2</v>
      </c>
      <c r="I467">
        <v>0</v>
      </c>
      <c r="J467" s="11">
        <v>0</v>
      </c>
      <c r="K467" s="77">
        <v>0</v>
      </c>
      <c r="L467" s="27">
        <f>SUM(C467:K467)</f>
        <v>48.75</v>
      </c>
      <c r="N467" s="27">
        <f>L467</f>
        <v>48.75</v>
      </c>
      <c r="O467" t="s">
        <v>404</v>
      </c>
    </row>
    <row r="468" spans="1:17" ht="12.75">
      <c r="A468" t="s">
        <v>140</v>
      </c>
      <c r="C468">
        <f>C467*P468/1000</f>
        <v>0</v>
      </c>
      <c r="D468">
        <f>D467*P468/1000</f>
        <v>0</v>
      </c>
      <c r="E468" s="22">
        <f>E467*P468/1000</f>
        <v>0.238381</v>
      </c>
      <c r="F468" s="22">
        <f>F467*P468/1000</f>
        <v>0.67721875</v>
      </c>
      <c r="G468" s="22">
        <f>G467*P468/1000</f>
        <v>0.0975195</v>
      </c>
      <c r="H468" s="22">
        <f>H467*P468/1000</f>
        <v>0.043342</v>
      </c>
      <c r="I468">
        <f>I467*P468/1000</f>
        <v>0</v>
      </c>
      <c r="J468">
        <f>J467*P468/1000</f>
        <v>0</v>
      </c>
      <c r="K468">
        <f>K467*P468/1000</f>
        <v>0</v>
      </c>
      <c r="L468" s="22">
        <f>SUM(C468:K468)</f>
        <v>1.05646125</v>
      </c>
      <c r="N468" s="22">
        <f>L468</f>
        <v>1.05646125</v>
      </c>
      <c r="O468" s="13" t="s">
        <v>142</v>
      </c>
      <c r="P468" s="68">
        <v>21.671</v>
      </c>
      <c r="Q468" t="s">
        <v>30</v>
      </c>
    </row>
    <row r="469" spans="1:17" ht="12.75">
      <c r="A469" t="s">
        <v>139</v>
      </c>
      <c r="C469">
        <f>C468*P469</f>
        <v>0</v>
      </c>
      <c r="D469">
        <f>D468*P469</f>
        <v>0</v>
      </c>
      <c r="E469" s="22">
        <f>E468*P469</f>
        <v>0.27437653100000003</v>
      </c>
      <c r="F469" s="22">
        <f>F468*P469</f>
        <v>0.77947878125</v>
      </c>
      <c r="G469" s="22">
        <f>G468*P469</f>
        <v>0.1122449445</v>
      </c>
      <c r="H469" s="22">
        <f>H468*P469</f>
        <v>0.049886642</v>
      </c>
      <c r="I469">
        <f>I468*P469</f>
        <v>0</v>
      </c>
      <c r="J469">
        <f>J468*P469</f>
        <v>0</v>
      </c>
      <c r="K469">
        <f>K468*P469</f>
        <v>0</v>
      </c>
      <c r="L469" s="22">
        <f>SUM(C469:K469)</f>
        <v>1.21598689875</v>
      </c>
      <c r="N469" s="22">
        <f>L469</f>
        <v>1.21598689875</v>
      </c>
      <c r="O469" t="s">
        <v>141</v>
      </c>
      <c r="P469">
        <v>1.151</v>
      </c>
      <c r="Q469" t="s">
        <v>11</v>
      </c>
    </row>
    <row r="470" spans="1:17" ht="12.75">
      <c r="A470" t="s">
        <v>219</v>
      </c>
      <c r="C470">
        <f>C468*P470</f>
        <v>0</v>
      </c>
      <c r="D470">
        <f>D468*P470</f>
        <v>0</v>
      </c>
      <c r="E470" s="22">
        <f>E468*P470</f>
        <v>0.18355337000000002</v>
      </c>
      <c r="F470" s="22">
        <f>F468*P470</f>
        <v>0.5214584375</v>
      </c>
      <c r="G470" s="22">
        <f>G468*P470</f>
        <v>0.075090015</v>
      </c>
      <c r="H470" s="22">
        <f>H468*P470</f>
        <v>0.03337334</v>
      </c>
      <c r="I470">
        <f>I468*P470</f>
        <v>0</v>
      </c>
      <c r="J470">
        <f>J468*P470</f>
        <v>0</v>
      </c>
      <c r="K470">
        <f>K468*P470</f>
        <v>0</v>
      </c>
      <c r="L470" s="22">
        <f>SUM(C470:K470)</f>
        <v>0.8134751625000001</v>
      </c>
      <c r="N470" s="22">
        <f>L470</f>
        <v>0.8134751625000001</v>
      </c>
      <c r="O470" s="13" t="s">
        <v>24</v>
      </c>
      <c r="P470">
        <v>0.77</v>
      </c>
      <c r="Q470" t="s">
        <v>15</v>
      </c>
    </row>
    <row r="471" spans="5:15" ht="12.75">
      <c r="E471" s="22"/>
      <c r="F471" s="22"/>
      <c r="M471" s="22"/>
      <c r="O471" s="13"/>
    </row>
    <row r="472" spans="1:15" ht="12.75">
      <c r="A472" s="9" t="s">
        <v>28</v>
      </c>
      <c r="C472" s="1">
        <v>0</v>
      </c>
      <c r="D472" s="27">
        <f aca="true" t="shared" si="13" ref="D472:F473">D463+D468</f>
        <v>1.0061099999999998</v>
      </c>
      <c r="E472" s="27">
        <f t="shared" si="13"/>
        <v>1.9463110000000001</v>
      </c>
      <c r="F472" s="27">
        <f t="shared" si="13"/>
        <v>5.920708749999999</v>
      </c>
      <c r="G472" s="27">
        <f aca="true" t="shared" si="14" ref="G472:J474">G463+G468</f>
        <v>3.9159495000000004</v>
      </c>
      <c r="H472" s="27">
        <f t="shared" si="14"/>
        <v>3.243742</v>
      </c>
      <c r="I472" s="27">
        <f t="shared" si="14"/>
        <v>2.46078</v>
      </c>
      <c r="J472" s="42">
        <f t="shared" si="14"/>
        <v>1.23165</v>
      </c>
      <c r="K472" s="15">
        <v>0</v>
      </c>
      <c r="L472" s="27">
        <f>SUM(C472:K472)</f>
        <v>19.72525125</v>
      </c>
      <c r="N472" s="89">
        <f>L472</f>
        <v>19.72525125</v>
      </c>
      <c r="O472" s="13" t="s">
        <v>639</v>
      </c>
    </row>
    <row r="473" spans="1:15" ht="12.75">
      <c r="A473" s="1" t="s">
        <v>29</v>
      </c>
      <c r="C473" s="11"/>
      <c r="D473" s="41">
        <f t="shared" si="13"/>
        <v>0.20122199999999998</v>
      </c>
      <c r="E473" s="41">
        <f t="shared" si="13"/>
        <v>0.6159625310000001</v>
      </c>
      <c r="F473" s="41">
        <f t="shared" si="13"/>
        <v>1.8281767812499998</v>
      </c>
      <c r="G473" s="41">
        <f t="shared" si="14"/>
        <v>0.8759309445000001</v>
      </c>
      <c r="H473" s="41">
        <f t="shared" si="14"/>
        <v>0.6899666420000001</v>
      </c>
      <c r="I473" s="41">
        <f t="shared" si="14"/>
        <v>0.49215600000000004</v>
      </c>
      <c r="J473" s="41">
        <f t="shared" si="14"/>
        <v>0.24633</v>
      </c>
      <c r="K473" s="11">
        <f>K464+K469</f>
        <v>0</v>
      </c>
      <c r="L473" s="27">
        <f>SUM(D473:K473)</f>
        <v>4.94974489875</v>
      </c>
      <c r="N473" s="89">
        <f>L473</f>
        <v>4.94974489875</v>
      </c>
      <c r="O473" t="s">
        <v>143</v>
      </c>
    </row>
    <row r="474" spans="1:15" ht="12.75">
      <c r="A474" s="9" t="s">
        <v>279</v>
      </c>
      <c r="B474" s="58"/>
      <c r="C474" s="1">
        <v>0</v>
      </c>
      <c r="D474" s="27">
        <f>D465</f>
        <v>0.7243991999999999</v>
      </c>
      <c r="E474" s="27">
        <f>E465+E470</f>
        <v>1.4132629700000001</v>
      </c>
      <c r="F474" s="27">
        <f>F465+F470</f>
        <v>4.2904584375</v>
      </c>
      <c r="G474" s="27">
        <f t="shared" si="14"/>
        <v>2.8243596149999997</v>
      </c>
      <c r="H474" s="27">
        <f t="shared" si="14"/>
        <v>2.33766134</v>
      </c>
      <c r="I474" s="27">
        <f t="shared" si="14"/>
        <v>1.7717616</v>
      </c>
      <c r="J474" s="42">
        <f t="shared" si="14"/>
        <v>0.8867879999999999</v>
      </c>
      <c r="K474" s="15">
        <v>0</v>
      </c>
      <c r="L474" s="27">
        <f>SUM(C474:K474)</f>
        <v>14.2486911625</v>
      </c>
      <c r="N474" s="89">
        <f>L474</f>
        <v>14.2486911625</v>
      </c>
      <c r="O474" s="13" t="s">
        <v>1</v>
      </c>
    </row>
    <row r="475" spans="1:15" ht="12.75">
      <c r="A475" s="9"/>
      <c r="B475" s="58"/>
      <c r="C475" s="1"/>
      <c r="D475" s="27"/>
      <c r="E475" s="27"/>
      <c r="F475" s="27"/>
      <c r="G475" s="27"/>
      <c r="H475" s="27"/>
      <c r="I475" s="27"/>
      <c r="J475" s="27"/>
      <c r="K475" s="42"/>
      <c r="L475" s="15"/>
      <c r="M475" s="89"/>
      <c r="N475" s="28"/>
      <c r="O475" s="13"/>
    </row>
    <row r="476" ht="12.75">
      <c r="A476" s="58" t="s">
        <v>3</v>
      </c>
    </row>
    <row r="477" spans="1:15" ht="12.75">
      <c r="A477" t="s">
        <v>400</v>
      </c>
      <c r="C477">
        <v>0</v>
      </c>
      <c r="D477" s="22">
        <f>-0.796*0.47</f>
        <v>-0.37412</v>
      </c>
      <c r="E477">
        <v>0</v>
      </c>
      <c r="F477">
        <v>0</v>
      </c>
      <c r="G477" s="24">
        <v>0</v>
      </c>
      <c r="H477">
        <v>0</v>
      </c>
      <c r="I477">
        <v>0</v>
      </c>
      <c r="J477">
        <v>0</v>
      </c>
      <c r="K477">
        <v>0</v>
      </c>
      <c r="L477" s="22">
        <f>SUM(C477:K477)</f>
        <v>-0.37412</v>
      </c>
      <c r="N477" s="22">
        <f aca="true" t="shared" si="15" ref="N477:N483">L477</f>
        <v>-0.37412</v>
      </c>
      <c r="O477" s="4" t="s">
        <v>450</v>
      </c>
    </row>
    <row r="478" spans="1:15" ht="12.75">
      <c r="A478" t="s">
        <v>406</v>
      </c>
      <c r="C478">
        <v>0</v>
      </c>
      <c r="D478" s="22">
        <f>-0.12*0.47</f>
        <v>-0.05639999999999999</v>
      </c>
      <c r="E478">
        <v>-0.12</v>
      </c>
      <c r="F478">
        <v>0</v>
      </c>
      <c r="G478">
        <v>0</v>
      </c>
      <c r="H478">
        <v>0</v>
      </c>
      <c r="I478">
        <v>0</v>
      </c>
      <c r="J478">
        <v>0</v>
      </c>
      <c r="K478">
        <v>0</v>
      </c>
      <c r="L478" s="21">
        <f>SUM(C478:K478)</f>
        <v>-0.1764</v>
      </c>
      <c r="N478" s="21">
        <f t="shared" si="15"/>
        <v>-0.1764</v>
      </c>
      <c r="O478" t="s">
        <v>451</v>
      </c>
    </row>
    <row r="479" spans="1:15" ht="12.75">
      <c r="A479" t="s">
        <v>401</v>
      </c>
      <c r="C479" s="4">
        <v>0</v>
      </c>
      <c r="D479" s="22">
        <f>-0.1*D465*0.47</f>
        <v>-0.03404676239999999</v>
      </c>
      <c r="E479" s="22">
        <f>-0.05*E465</f>
        <v>-0.06148548000000001</v>
      </c>
      <c r="F479">
        <v>0</v>
      </c>
      <c r="G479">
        <v>0</v>
      </c>
      <c r="H479">
        <v>0</v>
      </c>
      <c r="I479">
        <v>0</v>
      </c>
      <c r="J479">
        <v>0</v>
      </c>
      <c r="K479">
        <v>0</v>
      </c>
      <c r="L479" s="22">
        <f>SUM(C479:K479)</f>
        <v>-0.0955322424</v>
      </c>
      <c r="N479" s="22">
        <f t="shared" si="15"/>
        <v>-0.0955322424</v>
      </c>
      <c r="O479" t="s">
        <v>452</v>
      </c>
    </row>
    <row r="480" spans="1:17" ht="12.75">
      <c r="A480" t="s">
        <v>249</v>
      </c>
      <c r="C480" s="22">
        <f>-P480*C180/1000</f>
        <v>-0.07949537950664139</v>
      </c>
      <c r="D480" s="22">
        <f>-P480*D180/1000*0.47</f>
        <v>-0.11045277808349147</v>
      </c>
      <c r="E480" s="22">
        <f>-P480*E180/1000</f>
        <v>-0.39182212523719173</v>
      </c>
      <c r="F480" s="22">
        <f>-P480*F180/1000</f>
        <v>-0.5836723529411766</v>
      </c>
      <c r="G480" s="22">
        <f>-P480*H180/1000</f>
        <v>-0.6787123529411765</v>
      </c>
      <c r="H480" s="22">
        <f>-P480*I180/1000</f>
        <v>-0.6082721252371918</v>
      </c>
      <c r="I480" s="22">
        <f>-P480*J180/1000</f>
        <v>-0.5219171252371918</v>
      </c>
      <c r="J480" s="22">
        <f>-P480*K180/1000</f>
        <v>-0.2722615180265655</v>
      </c>
      <c r="K480" s="22">
        <f>-P480*L180/1000</f>
        <v>-0.14399053130929795</v>
      </c>
      <c r="L480" s="22">
        <f>SUM(C480:F480)+SUM(G480:K480)</f>
        <v>-3.390596288519925</v>
      </c>
      <c r="N480" s="22">
        <f t="shared" si="15"/>
        <v>-3.390596288519925</v>
      </c>
      <c r="O480" t="s">
        <v>426</v>
      </c>
      <c r="P480">
        <f>0.45</f>
        <v>0.45</v>
      </c>
      <c r="Q480" t="s">
        <v>166</v>
      </c>
    </row>
    <row r="481" spans="1:15" ht="15.75">
      <c r="A481" s="1" t="s">
        <v>415</v>
      </c>
      <c r="C481" s="1">
        <v>0</v>
      </c>
      <c r="D481" s="27">
        <f>D474+D477+D478+D479+D480</f>
        <v>0.14937965951650845</v>
      </c>
      <c r="E481" s="27">
        <f>E474+E477+E478+E479+E480</f>
        <v>0.8399553647628085</v>
      </c>
      <c r="F481" s="27">
        <f>F474+F477+F478+F479+F480</f>
        <v>3.706786084558823</v>
      </c>
      <c r="G481" s="27">
        <f>G474+G477+G478+G479+G480</f>
        <v>2.145647262058823</v>
      </c>
      <c r="H481" s="27">
        <f>H474+H477+H478+H479+H480</f>
        <v>1.7293892147628083</v>
      </c>
      <c r="I481" s="27">
        <f>I474+I480</f>
        <v>1.2498444747628081</v>
      </c>
      <c r="J481" s="42">
        <f>J474+J480</f>
        <v>0.6145264819734344</v>
      </c>
      <c r="K481" s="15">
        <v>0</v>
      </c>
      <c r="L481" s="94">
        <f>SUM(C481:K481)</f>
        <v>10.435528542396014</v>
      </c>
      <c r="N481" s="94">
        <f t="shared" si="15"/>
        <v>10.435528542396014</v>
      </c>
      <c r="O481" s="22" t="s">
        <v>443</v>
      </c>
    </row>
    <row r="482" spans="1:15" ht="15.75">
      <c r="A482" s="1" t="s">
        <v>445</v>
      </c>
      <c r="C482" s="1">
        <f>C202</f>
        <v>0</v>
      </c>
      <c r="D482" s="25">
        <f>D202</f>
        <v>0</v>
      </c>
      <c r="E482" s="27">
        <f>E202</f>
        <v>1.4356147690208312</v>
      </c>
      <c r="F482" s="27">
        <f>F202</f>
        <v>3.0573917048435204</v>
      </c>
      <c r="G482" s="27">
        <f>H202</f>
        <v>3.466187420668513</v>
      </c>
      <c r="H482" s="27">
        <f>I202</f>
        <v>2.059804500948097</v>
      </c>
      <c r="I482" s="27">
        <f>J202</f>
        <v>1.209288893451438</v>
      </c>
      <c r="J482" s="73">
        <f>K202</f>
        <v>0</v>
      </c>
      <c r="K482" s="25">
        <f>L202</f>
        <v>0</v>
      </c>
      <c r="L482" s="94">
        <f>SUM(C482:K482)</f>
        <v>11.2282872889324</v>
      </c>
      <c r="N482" s="94">
        <f t="shared" si="15"/>
        <v>11.2282872889324</v>
      </c>
      <c r="O482" t="s">
        <v>444</v>
      </c>
    </row>
    <row r="483" spans="1:15" ht="15.75">
      <c r="A483" s="1" t="s">
        <v>446</v>
      </c>
      <c r="C483" s="1">
        <f>C482</f>
        <v>0</v>
      </c>
      <c r="D483" s="25">
        <f>D482</f>
        <v>0</v>
      </c>
      <c r="E483" s="27">
        <f>E482</f>
        <v>1.4356147690208312</v>
      </c>
      <c r="F483" s="27">
        <f>((F180+(F119*1.26))/F180*F200)-F200+F482</f>
        <v>3.343237419703475</v>
      </c>
      <c r="G483" s="27">
        <f>((H180+(H119*1.26))/H180*H200)-H200+G482</f>
        <v>3.7580908812935228</v>
      </c>
      <c r="H483" s="27">
        <f>((I180+(I119*1.26))/I180*I200)-I200+H482</f>
        <v>2.3255680915826638</v>
      </c>
      <c r="I483" s="42">
        <f>((J180-(J119*1.26))/J180*J200)-J200+I482</f>
        <v>0.9360556509590907</v>
      </c>
      <c r="J483" s="73">
        <f>J482</f>
        <v>0</v>
      </c>
      <c r="K483" s="25">
        <v>0</v>
      </c>
      <c r="L483" s="94">
        <f>SUM(C483:K483)</f>
        <v>11.798566812559583</v>
      </c>
      <c r="N483" s="94">
        <f t="shared" si="15"/>
        <v>11.798566812559583</v>
      </c>
      <c r="O483" t="s">
        <v>535</v>
      </c>
    </row>
    <row r="484" spans="1:13" ht="12.75">
      <c r="A484" s="1"/>
      <c r="C484" s="11"/>
      <c r="D484" s="41"/>
      <c r="E484" s="55"/>
      <c r="F484" s="55"/>
      <c r="G484" s="55"/>
      <c r="H484" s="55"/>
      <c r="I484" s="55"/>
      <c r="J484" s="41"/>
      <c r="K484" s="11"/>
      <c r="L484" s="11"/>
      <c r="M484" s="23"/>
    </row>
    <row r="486" ht="12.75">
      <c r="A486" s="14" t="s">
        <v>588</v>
      </c>
    </row>
    <row r="487" spans="1:15" ht="12.75">
      <c r="A487" s="1" t="s">
        <v>190</v>
      </c>
      <c r="C487" s="22">
        <f>C165</f>
        <v>4.197493361859227</v>
      </c>
      <c r="D487" s="22">
        <f>D165</f>
        <v>3.4886266985209238</v>
      </c>
      <c r="E487" s="22">
        <f>E165</f>
        <v>2.549387477097198</v>
      </c>
      <c r="F487" s="22">
        <f>F165</f>
        <v>3.092157790948535</v>
      </c>
      <c r="G487" s="22">
        <f>H165</f>
        <v>4.082547820610515</v>
      </c>
      <c r="H487" s="22">
        <f>I165</f>
        <v>4.808487763391555</v>
      </c>
      <c r="I487" s="22">
        <f>J165</f>
        <v>4.756911519488391</v>
      </c>
      <c r="J487" s="22">
        <f>K165</f>
        <v>4.186988231425853</v>
      </c>
      <c r="K487" s="22">
        <f>L165</f>
        <v>4.967441241409941</v>
      </c>
      <c r="L487" s="28">
        <f>SUM(C487:K487)</f>
        <v>36.13004190475214</v>
      </c>
      <c r="N487" s="28">
        <f aca="true" t="shared" si="16" ref="N487:N493">L487</f>
        <v>36.13004190475214</v>
      </c>
      <c r="O487" t="s">
        <v>639</v>
      </c>
    </row>
    <row r="488" spans="1:15" ht="12.75">
      <c r="A488" t="s">
        <v>206</v>
      </c>
      <c r="C488" s="24">
        <f>C123</f>
        <v>105.69750000000002</v>
      </c>
      <c r="D488" s="24">
        <f>D123</f>
        <v>98.332</v>
      </c>
      <c r="E488" s="24">
        <f>E123</f>
        <v>54.6</v>
      </c>
      <c r="F488" s="24">
        <f>F123</f>
        <v>46.77899999999999</v>
      </c>
      <c r="G488" s="24">
        <f>H123</f>
        <v>59.039500000000004</v>
      </c>
      <c r="H488" s="24">
        <f>I123</f>
        <v>71.05</v>
      </c>
      <c r="I488" s="24">
        <f>J123</f>
        <v>90.148</v>
      </c>
      <c r="J488" s="24">
        <f>K123</f>
        <v>100.0875</v>
      </c>
      <c r="K488" s="24">
        <f>L123</f>
        <v>117.17999999999999</v>
      </c>
      <c r="L488" s="24">
        <f>SUM(C488:K488)</f>
        <v>742.9134999999999</v>
      </c>
      <c r="N488" s="24">
        <f t="shared" si="16"/>
        <v>742.9134999999999</v>
      </c>
      <c r="O488" t="s">
        <v>374</v>
      </c>
    </row>
    <row r="489" spans="1:15" ht="12.75">
      <c r="A489" t="s">
        <v>298</v>
      </c>
      <c r="C489" s="21">
        <f aca="true" t="shared" si="17" ref="C489:L489">C487/C488</f>
        <v>0.03971232396091891</v>
      </c>
      <c r="D489" s="21">
        <f t="shared" si="17"/>
        <v>0.035478040704154536</v>
      </c>
      <c r="E489" s="21">
        <f t="shared" si="17"/>
        <v>0.04669207833511352</v>
      </c>
      <c r="F489" s="21">
        <f t="shared" si="17"/>
        <v>0.06610140855829615</v>
      </c>
      <c r="G489" s="21">
        <f t="shared" si="17"/>
        <v>0.06914943081514095</v>
      </c>
      <c r="H489" s="21">
        <f t="shared" si="17"/>
        <v>0.06767751954104934</v>
      </c>
      <c r="I489" s="21">
        <f t="shared" si="17"/>
        <v>0.05276779872530051</v>
      </c>
      <c r="J489" s="21">
        <f t="shared" si="17"/>
        <v>0.04183327819583717</v>
      </c>
      <c r="K489" s="21">
        <f t="shared" si="17"/>
        <v>0.04239154498557724</v>
      </c>
      <c r="L489" s="21">
        <f t="shared" si="17"/>
        <v>0.048632905317714845</v>
      </c>
      <c r="N489" s="21">
        <f t="shared" si="16"/>
        <v>0.048632905317714845</v>
      </c>
      <c r="O489" t="s">
        <v>375</v>
      </c>
    </row>
    <row r="490" spans="1:15" ht="12.75">
      <c r="A490" t="s">
        <v>208</v>
      </c>
      <c r="C490" s="76" t="s">
        <v>410</v>
      </c>
      <c r="D490" s="76" t="s">
        <v>414</v>
      </c>
      <c r="E490" s="23">
        <v>24.2</v>
      </c>
      <c r="F490" s="23">
        <v>47.4</v>
      </c>
      <c r="G490" s="23">
        <v>99.2</v>
      </c>
      <c r="H490" s="23">
        <v>102.6</v>
      </c>
      <c r="I490" s="23">
        <v>129.2</v>
      </c>
      <c r="J490" s="49">
        <v>97.3</v>
      </c>
      <c r="K490" s="49">
        <v>43</v>
      </c>
      <c r="L490" s="23">
        <f>106+98+(SUM(E490:K490))</f>
        <v>746.9</v>
      </c>
      <c r="N490" s="49">
        <f t="shared" si="16"/>
        <v>746.9</v>
      </c>
      <c r="O490" s="13" t="s">
        <v>4</v>
      </c>
    </row>
    <row r="491" spans="1:15" ht="12.75">
      <c r="A491" t="s">
        <v>421</v>
      </c>
      <c r="C491" s="49" t="s">
        <v>410</v>
      </c>
      <c r="D491" s="49" t="s">
        <v>414</v>
      </c>
      <c r="E491" s="23">
        <f>E490</f>
        <v>24.2</v>
      </c>
      <c r="F491" s="23">
        <f>F490-1.4</f>
        <v>46</v>
      </c>
      <c r="G491" s="23">
        <v>91.6</v>
      </c>
      <c r="H491" s="23">
        <v>97.2</v>
      </c>
      <c r="I491" s="23">
        <f>I490-0.5</f>
        <v>128.7</v>
      </c>
      <c r="J491" s="23">
        <v>96.9</v>
      </c>
      <c r="K491" s="23">
        <f>K490</f>
        <v>43</v>
      </c>
      <c r="L491" s="23">
        <f>106+98+(SUM(E491:K491))</f>
        <v>731.6</v>
      </c>
      <c r="N491" s="23">
        <f t="shared" si="16"/>
        <v>731.6</v>
      </c>
      <c r="O491" t="s">
        <v>374</v>
      </c>
    </row>
    <row r="492" spans="1:15" ht="12.75">
      <c r="A492" s="1" t="s">
        <v>207</v>
      </c>
      <c r="C492" s="11" t="s">
        <v>119</v>
      </c>
      <c r="D492" s="11" t="s">
        <v>120</v>
      </c>
      <c r="E492" s="22">
        <f>E489*E490</f>
        <v>1.129948295709747</v>
      </c>
      <c r="F492" s="22">
        <f>F489*F490</f>
        <v>3.133206765663237</v>
      </c>
      <c r="G492" s="22">
        <f>G489*G490</f>
        <v>6.8596235368619825</v>
      </c>
      <c r="H492" s="22">
        <f>H489*H491</f>
        <v>6.578254899389996</v>
      </c>
      <c r="I492" s="22">
        <f>I489*I491</f>
        <v>6.791215695946176</v>
      </c>
      <c r="J492" s="86">
        <f>J489*J491</f>
        <v>4.053644657176622</v>
      </c>
      <c r="K492" s="49">
        <f>K489*K491</f>
        <v>1.8228364343798213</v>
      </c>
      <c r="L492" s="28">
        <f>1.03+2.77+(SUM(E492:K492))</f>
        <v>34.16873028512758</v>
      </c>
      <c r="N492" s="34">
        <f t="shared" si="16"/>
        <v>34.16873028512758</v>
      </c>
      <c r="O492" t="s">
        <v>639</v>
      </c>
    </row>
    <row r="493" spans="1:15" ht="12.75">
      <c r="A493" t="s">
        <v>587</v>
      </c>
      <c r="C493" s="11"/>
      <c r="D493" s="11"/>
      <c r="E493" s="22">
        <f aca="true" t="shared" si="18" ref="E493:L493">E492/E487</f>
        <v>0.4432234432234432</v>
      </c>
      <c r="F493" s="22">
        <f t="shared" si="18"/>
        <v>1.0132751875841726</v>
      </c>
      <c r="G493" s="22">
        <f t="shared" si="18"/>
        <v>1.6802310317668678</v>
      </c>
      <c r="H493" s="22">
        <f t="shared" si="18"/>
        <v>1.3680506685432796</v>
      </c>
      <c r="I493" s="22">
        <f t="shared" si="18"/>
        <v>1.4276523050982828</v>
      </c>
      <c r="J493" s="22">
        <f t="shared" si="18"/>
        <v>0.9681528662420381</v>
      </c>
      <c r="K493" s="22">
        <f t="shared" si="18"/>
        <v>0.3669568185697218</v>
      </c>
      <c r="L493" s="22">
        <f t="shared" si="18"/>
        <v>0.9457152132622744</v>
      </c>
      <c r="N493" s="22">
        <f t="shared" si="16"/>
        <v>0.9457152132622744</v>
      </c>
      <c r="O493" t="s">
        <v>689</v>
      </c>
    </row>
    <row r="494" spans="1:15" ht="15.75">
      <c r="A494" s="1"/>
      <c r="B494" s="1"/>
      <c r="C494" s="72"/>
      <c r="D494" s="74"/>
      <c r="E494" s="27"/>
      <c r="F494" s="27"/>
      <c r="G494" s="75"/>
      <c r="H494" s="27"/>
      <c r="I494" s="27"/>
      <c r="J494" s="27"/>
      <c r="K494" s="42"/>
      <c r="L494" s="72"/>
      <c r="M494" s="1"/>
      <c r="N494" s="85"/>
      <c r="O494" s="13"/>
    </row>
    <row r="495" spans="1:15" ht="12.75">
      <c r="A495" s="14" t="s">
        <v>413</v>
      </c>
      <c r="E495" s="28"/>
      <c r="F495" s="28"/>
      <c r="L495" s="59"/>
      <c r="O495" s="87"/>
    </row>
    <row r="496" spans="1:17" ht="12.75">
      <c r="A496" t="s">
        <v>27</v>
      </c>
      <c r="C496" s="66" t="s">
        <v>112</v>
      </c>
      <c r="D496" s="66" t="s">
        <v>113</v>
      </c>
      <c r="E496" s="96" t="s">
        <v>114</v>
      </c>
      <c r="F496" s="58" t="s">
        <v>115</v>
      </c>
      <c r="G496">
        <v>381</v>
      </c>
      <c r="H496">
        <v>314</v>
      </c>
      <c r="I496">
        <v>330</v>
      </c>
      <c r="J496" s="11">
        <v>373</v>
      </c>
      <c r="K496" s="11">
        <v>400</v>
      </c>
      <c r="L496" s="1">
        <f>911+919+675+466+SUM(G496:K496)</f>
        <v>4769</v>
      </c>
      <c r="M496" s="1">
        <v>1307</v>
      </c>
      <c r="N496" s="1">
        <f>L496+M496</f>
        <v>6076</v>
      </c>
      <c r="O496" t="s">
        <v>146</v>
      </c>
      <c r="Q496" s="23"/>
    </row>
    <row r="497" spans="1:17" ht="12.75">
      <c r="A497" t="s">
        <v>144</v>
      </c>
      <c r="C497" s="49">
        <f>911/C118</f>
        <v>30.366666666666667</v>
      </c>
      <c r="D497" s="49">
        <f>919/D118</f>
        <v>29.64516129032258</v>
      </c>
      <c r="E497" s="49">
        <f>675/E118</f>
        <v>22.5</v>
      </c>
      <c r="F497" s="23">
        <f>466/F118</f>
        <v>15.03225806451613</v>
      </c>
      <c r="G497" s="23">
        <f>G496/H118</f>
        <v>12.290322580645162</v>
      </c>
      <c r="H497" s="23">
        <f>H496/I118</f>
        <v>11.214285714285714</v>
      </c>
      <c r="I497" s="23">
        <f>I496/J118</f>
        <v>10.64516129032258</v>
      </c>
      <c r="J497" s="23">
        <f>J496/K118</f>
        <v>12.433333333333334</v>
      </c>
      <c r="K497" s="23">
        <f>K496/L118</f>
        <v>12.903225806451612</v>
      </c>
      <c r="L497" s="23">
        <f>L496/SUM(C118:L118)</f>
        <v>17.468864468864467</v>
      </c>
      <c r="M497" s="23">
        <f>M496/92</f>
        <v>14.206521739130435</v>
      </c>
      <c r="N497" s="23">
        <f>L497+M497</f>
        <v>31.675386207994904</v>
      </c>
      <c r="Q497" s="24"/>
    </row>
    <row r="498" spans="1:18" ht="12.75">
      <c r="A498" t="s">
        <v>5</v>
      </c>
      <c r="C498" s="24">
        <f>911*P498</f>
        <v>3065.5150000000003</v>
      </c>
      <c r="D498" s="24">
        <f>919*P498</f>
        <v>3092.4350000000004</v>
      </c>
      <c r="E498" s="24">
        <f>675*P498</f>
        <v>2271.375</v>
      </c>
      <c r="F498" s="24">
        <f>466*P498</f>
        <v>1568.0900000000001</v>
      </c>
      <c r="G498" s="24">
        <f>G496*P498</f>
        <v>1282.065</v>
      </c>
      <c r="H498" s="24">
        <f>H496*P498</f>
        <v>1056.6100000000001</v>
      </c>
      <c r="I498" s="24">
        <f>I496*P498</f>
        <v>1110.45</v>
      </c>
      <c r="J498" s="24">
        <f>J496*P498</f>
        <v>1255.145</v>
      </c>
      <c r="K498">
        <f>K496*P498</f>
        <v>1346</v>
      </c>
      <c r="L498" s="25">
        <f>SUM(C498:K498)</f>
        <v>16047.685000000003</v>
      </c>
      <c r="M498" s="25">
        <f>M496*P498</f>
        <v>4398.055</v>
      </c>
      <c r="N498" s="25">
        <f>L498+M498</f>
        <v>20445.740000000005</v>
      </c>
      <c r="O498" t="s">
        <v>145</v>
      </c>
      <c r="P498" s="21">
        <v>3.365</v>
      </c>
      <c r="Q498" t="str">
        <f>Q502</f>
        <v>source factor</v>
      </c>
      <c r="R498" s="24"/>
    </row>
    <row r="499" spans="5:18" ht="12.75">
      <c r="E499" s="24"/>
      <c r="G499" s="11"/>
      <c r="R499" s="24"/>
    </row>
    <row r="500" spans="1:12" ht="12.75">
      <c r="A500" s="14" t="s">
        <v>360</v>
      </c>
      <c r="E500" s="24"/>
      <c r="G500" s="11"/>
      <c r="L500" s="59"/>
    </row>
    <row r="501" spans="1:17" ht="12.75">
      <c r="A501" t="s">
        <v>26</v>
      </c>
      <c r="C501">
        <v>0</v>
      </c>
      <c r="D501">
        <v>0</v>
      </c>
      <c r="E501" s="24">
        <v>0</v>
      </c>
      <c r="F501" s="107">
        <f>P501*F118*P468*1000/O73</f>
        <v>26.789368912979782</v>
      </c>
      <c r="G501" s="23">
        <f>P501*H118*P468*1000/O73</f>
        <v>26.789368912979782</v>
      </c>
      <c r="H501" s="23">
        <f>P501*I118*P468*1000/O73</f>
        <v>24.196849340755932</v>
      </c>
      <c r="I501" s="23">
        <f>P501*J118*P468*1000/O73</f>
        <v>26.789368912979782</v>
      </c>
      <c r="J501" s="23">
        <f>P501*K118*P468*1000/O73</f>
        <v>25.9251957222385</v>
      </c>
      <c r="K501" s="23">
        <f>P501*L118*P468*1000/O73</f>
        <v>26.789368912979782</v>
      </c>
      <c r="L501" s="28">
        <f>SUM(C501:K501)</f>
        <v>157.2795207149136</v>
      </c>
      <c r="M501" s="23">
        <f>P501*92*P468*1000/O73</f>
        <v>79.50393354819806</v>
      </c>
      <c r="N501" s="28">
        <f>L501+M501</f>
        <v>236.78345426311165</v>
      </c>
      <c r="O501" t="s">
        <v>200</v>
      </c>
      <c r="P501">
        <v>0.1361</v>
      </c>
      <c r="Q501" t="s">
        <v>63</v>
      </c>
    </row>
    <row r="502" spans="1:17" ht="12.75">
      <c r="A502" t="s">
        <v>7</v>
      </c>
      <c r="C502">
        <v>0</v>
      </c>
      <c r="D502">
        <v>0</v>
      </c>
      <c r="E502" s="24">
        <v>0</v>
      </c>
      <c r="F502" s="23">
        <f>F501*P502</f>
        <v>30.83456361883973</v>
      </c>
      <c r="G502" s="23">
        <f>G501*P502</f>
        <v>30.83456361883973</v>
      </c>
      <c r="H502" s="23">
        <f>H501*P502</f>
        <v>27.85057359121008</v>
      </c>
      <c r="I502" s="23">
        <f>I501*P502</f>
        <v>30.83456361883973</v>
      </c>
      <c r="J502" s="23">
        <f>J501*P502</f>
        <v>29.83990027629651</v>
      </c>
      <c r="K502" s="23">
        <f>K501*P502</f>
        <v>30.83456361883973</v>
      </c>
      <c r="L502" s="28">
        <f>SUM(C502:K502)</f>
        <v>181.0287283428655</v>
      </c>
      <c r="M502" s="28">
        <f>M501*P502</f>
        <v>91.50902751397597</v>
      </c>
      <c r="N502" s="28">
        <f>L502+M502</f>
        <v>272.53775585684144</v>
      </c>
      <c r="O502" t="s">
        <v>200</v>
      </c>
      <c r="P502">
        <v>1.151</v>
      </c>
      <c r="Q502" t="s">
        <v>6</v>
      </c>
    </row>
    <row r="503" spans="1:12" ht="12.75">
      <c r="A503" s="18"/>
      <c r="E503" s="24"/>
      <c r="G503" s="11"/>
      <c r="L503" s="59"/>
    </row>
    <row r="504" spans="1:15" ht="12.75">
      <c r="A504" s="9" t="s">
        <v>371</v>
      </c>
      <c r="C504" s="15">
        <f>C472*1000000/3413+911+C501</f>
        <v>911</v>
      </c>
      <c r="D504" s="73">
        <f>D472*1000000/3413+919+D501</f>
        <v>1213.7875769118077</v>
      </c>
      <c r="E504" s="73">
        <f>E472*1000000/3413+675+E501</f>
        <v>1245.2639906240845</v>
      </c>
      <c r="F504" s="25">
        <f>(F472*1000000/3413)+466+F501</f>
        <v>2227.5414198945205</v>
      </c>
      <c r="G504" s="25">
        <f>(G472*1000000/3413)+G496+G501</f>
        <v>1555.152246147085</v>
      </c>
      <c r="H504" s="25">
        <f>(H472*1000000/3413)+H496+H501</f>
        <v>1288.604701670085</v>
      </c>
      <c r="I504" s="25">
        <f>(I472*1000000/3413)+(I496)+I501</f>
        <v>1077.7914198945211</v>
      </c>
      <c r="J504" s="73">
        <f>(J472*1000000/3413)+J496+J501</f>
        <v>759.7953978904189</v>
      </c>
      <c r="K504" s="73">
        <f>(K472*1000000/3413)+K496+K501</f>
        <v>426.7893689129798</v>
      </c>
      <c r="L504" s="25">
        <f>SUM(C504:K504)</f>
        <v>10705.726121945503</v>
      </c>
      <c r="M504" s="25">
        <f>(N472*1000000/3413)+M496+M501</f>
        <v>7165.950534778787</v>
      </c>
      <c r="N504" s="25">
        <f>L504+M504</f>
        <v>17871.67665672429</v>
      </c>
      <c r="O504" t="s">
        <v>200</v>
      </c>
    </row>
    <row r="505" spans="1:17" ht="12.75">
      <c r="A505" s="9"/>
      <c r="C505" s="108"/>
      <c r="D505" s="15"/>
      <c r="E505" s="73"/>
      <c r="F505" s="25"/>
      <c r="G505" s="11"/>
      <c r="H505" s="25"/>
      <c r="I505" s="25"/>
      <c r="J505" s="25"/>
      <c r="K505" s="73"/>
      <c r="L505" s="98"/>
      <c r="N505" s="1"/>
      <c r="Q505" s="21">
        <f>N501/274</f>
        <v>0.8641731907412834</v>
      </c>
    </row>
    <row r="506" spans="1:15" ht="12.75">
      <c r="A506" s="9" t="s">
        <v>372</v>
      </c>
      <c r="C506" s="73">
        <f>0*1000000/3413+C498+C502</f>
        <v>3065.5150000000003</v>
      </c>
      <c r="D506" s="73">
        <f>D473*1000000/3413+D498+D502</f>
        <v>3151.392515382362</v>
      </c>
      <c r="E506" s="73">
        <f>E473*1000000/3413+E498+E502</f>
        <v>2451.8503973044244</v>
      </c>
      <c r="F506" s="25">
        <f aca="true" t="shared" si="19" ref="F506:K506">(F473*1000000/3413)+F498+F502</f>
        <v>2134.5755396663053</v>
      </c>
      <c r="G506" s="25">
        <f t="shared" si="19"/>
        <v>1569.5450205482273</v>
      </c>
      <c r="H506" s="25">
        <f t="shared" si="19"/>
        <v>1286.61898027155</v>
      </c>
      <c r="I506" s="25">
        <f t="shared" si="19"/>
        <v>1285.484973815148</v>
      </c>
      <c r="J506" s="73">
        <f t="shared" si="19"/>
        <v>1357.1589407099325</v>
      </c>
      <c r="K506" s="73">
        <f t="shared" si="19"/>
        <v>1376.8345636188396</v>
      </c>
      <c r="L506" s="25">
        <f>SUM(C506:K506)</f>
        <v>17678.97593131679</v>
      </c>
      <c r="M506" s="25">
        <f>(N473*1000000/3413)+M498+M502</f>
        <v>5939.826230487899</v>
      </c>
      <c r="N506" s="25">
        <f>L506+M506</f>
        <v>23618.802161804688</v>
      </c>
      <c r="O506" t="s">
        <v>200</v>
      </c>
    </row>
    <row r="507" spans="1:14" ht="12.75">
      <c r="A507" s="9"/>
      <c r="C507" s="108"/>
      <c r="D507" s="15"/>
      <c r="E507" s="73"/>
      <c r="F507" s="25"/>
      <c r="G507" s="11"/>
      <c r="H507" s="25"/>
      <c r="I507" s="25"/>
      <c r="J507" s="25"/>
      <c r="K507" s="73"/>
      <c r="L507" s="98"/>
      <c r="N507" s="1"/>
    </row>
    <row r="508" spans="1:15" ht="12.75">
      <c r="A508" s="9" t="s">
        <v>8</v>
      </c>
      <c r="C508" s="34">
        <f>C506/O92</f>
        <v>13.537352786315374</v>
      </c>
      <c r="D508" s="34">
        <f>D506/O92</f>
        <v>13.916588974082602</v>
      </c>
      <c r="E508" s="34">
        <f>E506/O92</f>
        <v>10.827402184486946</v>
      </c>
      <c r="F508" s="27">
        <f>F506/O92</f>
        <v>9.426312423688124</v>
      </c>
      <c r="G508" s="27">
        <f>G506/O92</f>
        <v>6.931130546471299</v>
      </c>
      <c r="H508" s="42">
        <f>H506/O92</f>
        <v>5.681725595048568</v>
      </c>
      <c r="I508" s="27">
        <f>I506/O92</f>
        <v>5.676717808277903</v>
      </c>
      <c r="J508" s="27">
        <f>J506/O92</f>
        <v>5.993230947326118</v>
      </c>
      <c r="K508" s="27">
        <f>K506/O92</f>
        <v>6.080118745496534</v>
      </c>
      <c r="L508" s="28">
        <f>L506/O92</f>
        <v>78.07058001119347</v>
      </c>
      <c r="M508" s="27">
        <f>M506/O92</f>
        <v>26.230347322236067</v>
      </c>
      <c r="N508" s="25">
        <f>L508+M508</f>
        <v>104.30092733342954</v>
      </c>
      <c r="O508" t="s">
        <v>556</v>
      </c>
    </row>
    <row r="509" spans="1:14" ht="12.75">
      <c r="A509" s="47" t="s">
        <v>373</v>
      </c>
      <c r="C509" s="66"/>
      <c r="D509" s="11"/>
      <c r="E509" s="55"/>
      <c r="F509" s="27"/>
      <c r="G509" s="11"/>
      <c r="H509" s="27"/>
      <c r="I509" s="42"/>
      <c r="J509" s="27"/>
      <c r="K509" s="27"/>
      <c r="L509" s="27"/>
      <c r="M509" s="28"/>
      <c r="N509" s="27"/>
    </row>
    <row r="510" spans="1:14" ht="12.75">
      <c r="A510" s="47"/>
      <c r="C510" s="66"/>
      <c r="D510" s="11"/>
      <c r="E510" s="55"/>
      <c r="F510" s="27"/>
      <c r="G510" s="11"/>
      <c r="H510" s="27"/>
      <c r="I510" s="42"/>
      <c r="J510" s="27"/>
      <c r="K510" s="27"/>
      <c r="L510" s="27"/>
      <c r="M510" s="28"/>
      <c r="N510" s="27"/>
    </row>
    <row r="511" spans="1:14" ht="12.75">
      <c r="A511" s="3" t="s">
        <v>384</v>
      </c>
      <c r="D511" s="11"/>
      <c r="E511" s="55"/>
      <c r="F511" s="27"/>
      <c r="G511" s="11"/>
      <c r="H511" s="27"/>
      <c r="I511" s="42"/>
      <c r="J511" s="27"/>
      <c r="K511" s="32"/>
      <c r="L511" s="1"/>
      <c r="M511" s="1"/>
      <c r="N511" s="1"/>
    </row>
    <row r="512" spans="4:14" ht="12.75">
      <c r="D512" s="11"/>
      <c r="E512" s="55"/>
      <c r="F512" s="27"/>
      <c r="G512" s="11"/>
      <c r="H512" s="27"/>
      <c r="I512" s="42"/>
      <c r="J512" s="27"/>
      <c r="K512" s="32"/>
      <c r="L512" s="1"/>
      <c r="M512" s="1"/>
      <c r="N512" s="1"/>
    </row>
    <row r="513" spans="1:15" ht="12.75">
      <c r="A513" s="14" t="s">
        <v>382</v>
      </c>
      <c r="C513" s="66"/>
      <c r="D513" s="11"/>
      <c r="E513" s="55"/>
      <c r="F513" s="27"/>
      <c r="G513" s="11"/>
      <c r="H513" s="27"/>
      <c r="I513" s="42"/>
      <c r="J513" s="27"/>
      <c r="K513" s="32"/>
      <c r="L513" s="1"/>
      <c r="M513" s="1"/>
      <c r="N513" s="1"/>
      <c r="O513" s="23"/>
    </row>
    <row r="514" spans="1:15" ht="12.75">
      <c r="A514" s="9"/>
      <c r="C514" s="66"/>
      <c r="D514" s="11"/>
      <c r="E514" s="55"/>
      <c r="F514" s="27"/>
      <c r="G514" s="11"/>
      <c r="H514" s="27"/>
      <c r="I514" s="42"/>
      <c r="J514" s="27"/>
      <c r="K514" s="32"/>
      <c r="L514" s="1"/>
      <c r="M514" s="1"/>
      <c r="N514" s="1"/>
      <c r="O514" s="23"/>
    </row>
    <row r="515" spans="3:14" ht="12.75">
      <c r="C515" s="15" t="s">
        <v>220</v>
      </c>
      <c r="D515" s="15" t="s">
        <v>197</v>
      </c>
      <c r="E515" s="15" t="s">
        <v>196</v>
      </c>
      <c r="F515" s="15" t="s">
        <v>195</v>
      </c>
      <c r="G515" s="15" t="s">
        <v>191</v>
      </c>
      <c r="H515" s="15" t="s">
        <v>192</v>
      </c>
      <c r="I515" s="15" t="s">
        <v>193</v>
      </c>
      <c r="J515" s="15" t="s">
        <v>194</v>
      </c>
      <c r="K515" s="15" t="s">
        <v>508</v>
      </c>
      <c r="M515" s="15"/>
      <c r="N515" s="15"/>
    </row>
    <row r="516" spans="3:14" ht="12.75">
      <c r="C516" s="15"/>
      <c r="D516" s="15"/>
      <c r="E516" s="15"/>
      <c r="F516" s="15"/>
      <c r="G516" s="57"/>
      <c r="H516" s="15"/>
      <c r="I516" s="15"/>
      <c r="J516" s="15"/>
      <c r="K516" s="15"/>
      <c r="L516" s="15"/>
      <c r="M516" s="1"/>
      <c r="N516" s="15"/>
    </row>
    <row r="517" spans="1:10" ht="12.75">
      <c r="A517" s="58" t="s">
        <v>148</v>
      </c>
      <c r="E517" s="24"/>
      <c r="J517" s="58" t="s">
        <v>424</v>
      </c>
    </row>
    <row r="518" spans="1:10" ht="12.75">
      <c r="A518" s="58" t="s">
        <v>268</v>
      </c>
      <c r="E518" s="24"/>
      <c r="J518" s="58" t="s">
        <v>269</v>
      </c>
    </row>
    <row r="519" spans="1:10" ht="12.75">
      <c r="A519" s="58" t="s">
        <v>691</v>
      </c>
      <c r="E519" s="24"/>
      <c r="J519" s="58" t="s">
        <v>690</v>
      </c>
    </row>
    <row r="520" spans="1:10" ht="12.75">
      <c r="A520" s="58" t="s">
        <v>367</v>
      </c>
      <c r="E520" s="24"/>
      <c r="J520" s="58" t="s">
        <v>368</v>
      </c>
    </row>
    <row r="521" spans="1:10" ht="12.75">
      <c r="A521" s="58" t="s">
        <v>427</v>
      </c>
      <c r="E521" s="24"/>
      <c r="J521" s="58" t="s">
        <v>150</v>
      </c>
    </row>
    <row r="522" spans="1:10" ht="12.75">
      <c r="A522" s="58" t="s">
        <v>35</v>
      </c>
      <c r="E522" s="24"/>
      <c r="J522" s="58" t="s">
        <v>369</v>
      </c>
    </row>
    <row r="523" spans="1:10" ht="12.75">
      <c r="A523" s="58"/>
      <c r="E523" s="24"/>
      <c r="J523" s="58"/>
    </row>
    <row r="524" spans="1:10" ht="12.75">
      <c r="A524" s="58"/>
      <c r="E524" s="24"/>
      <c r="J524" s="58"/>
    </row>
    <row r="525" spans="3:14" ht="12.75">
      <c r="C525" s="58" t="s">
        <v>402</v>
      </c>
      <c r="D525" s="59" t="s">
        <v>420</v>
      </c>
      <c r="E525" s="79"/>
      <c r="F525" s="58"/>
      <c r="J525" s="58" t="s">
        <v>473</v>
      </c>
      <c r="K525" s="58" t="s">
        <v>151</v>
      </c>
      <c r="N525" s="24"/>
    </row>
    <row r="526" spans="1:11" ht="12.75">
      <c r="A526" t="s">
        <v>282</v>
      </c>
      <c r="C526" s="58" t="s">
        <v>403</v>
      </c>
      <c r="D526" s="58" t="s">
        <v>184</v>
      </c>
      <c r="E526" s="58" t="s">
        <v>184</v>
      </c>
      <c r="F526" s="59" t="s">
        <v>217</v>
      </c>
      <c r="G526" s="58" t="s">
        <v>277</v>
      </c>
      <c r="H526" s="58" t="s">
        <v>341</v>
      </c>
      <c r="I526" s="88" t="s">
        <v>472</v>
      </c>
      <c r="J526" s="59" t="s">
        <v>455</v>
      </c>
      <c r="K526" s="58" t="s">
        <v>152</v>
      </c>
    </row>
    <row r="527" spans="1:14" ht="12.75">
      <c r="A527" t="s">
        <v>283</v>
      </c>
      <c r="D527" s="59" t="s">
        <v>281</v>
      </c>
      <c r="E527" s="58" t="s">
        <v>281</v>
      </c>
      <c r="F527" s="59" t="s">
        <v>281</v>
      </c>
      <c r="H527" s="58" t="s">
        <v>341</v>
      </c>
      <c r="I527" s="88" t="s">
        <v>433</v>
      </c>
      <c r="J527" s="59" t="s">
        <v>428</v>
      </c>
      <c r="K527" s="58" t="s">
        <v>153</v>
      </c>
      <c r="N527" s="24"/>
    </row>
    <row r="528" spans="1:11" ht="12.75">
      <c r="A528" t="s">
        <v>284</v>
      </c>
      <c r="D528" s="91" t="s">
        <v>430</v>
      </c>
      <c r="E528" s="58" t="s">
        <v>431</v>
      </c>
      <c r="F528" s="59" t="s">
        <v>432</v>
      </c>
      <c r="G528" s="58" t="s">
        <v>302</v>
      </c>
      <c r="H528" s="58" t="s">
        <v>340</v>
      </c>
      <c r="I528" s="58" t="s">
        <v>474</v>
      </c>
      <c r="J528" s="66" t="s">
        <v>429</v>
      </c>
      <c r="K528" s="58" t="s">
        <v>429</v>
      </c>
    </row>
    <row r="529" spans="4:10" ht="12.75">
      <c r="D529" s="18"/>
      <c r="F529" s="18"/>
      <c r="G529" s="58"/>
      <c r="H529" s="58"/>
      <c r="I529" s="58"/>
      <c r="J529" s="58"/>
    </row>
    <row r="530" spans="4:10" ht="12.75">
      <c r="D530" s="18"/>
      <c r="F530" s="18"/>
      <c r="G530" s="58"/>
      <c r="H530" s="58"/>
      <c r="I530" s="58"/>
      <c r="J530" s="58"/>
    </row>
    <row r="531" spans="4:10" ht="12.75">
      <c r="D531" s="18"/>
      <c r="F531" s="18"/>
      <c r="G531" s="58"/>
      <c r="H531" s="58"/>
      <c r="I531" s="58"/>
      <c r="J531" s="58"/>
    </row>
    <row r="532" spans="1:10" ht="12.75">
      <c r="A532" s="50" t="s">
        <v>328</v>
      </c>
      <c r="D532" s="18"/>
      <c r="F532" s="18"/>
      <c r="G532" s="58"/>
      <c r="H532" s="58"/>
      <c r="I532" s="58"/>
      <c r="J532" s="58"/>
    </row>
    <row r="533" spans="1:10" ht="12.75">
      <c r="A533" s="50"/>
      <c r="D533" s="18"/>
      <c r="F533" s="18"/>
      <c r="G533" s="58"/>
      <c r="H533" s="58"/>
      <c r="I533" s="58"/>
      <c r="J533" s="58"/>
    </row>
    <row r="534" spans="1:11" ht="12.75">
      <c r="A534" s="50"/>
      <c r="C534" s="15" t="s">
        <v>220</v>
      </c>
      <c r="D534" s="15" t="s">
        <v>197</v>
      </c>
      <c r="E534" s="15" t="s">
        <v>196</v>
      </c>
      <c r="F534" s="15" t="s">
        <v>195</v>
      </c>
      <c r="G534" s="15" t="s">
        <v>191</v>
      </c>
      <c r="H534" s="15" t="s">
        <v>192</v>
      </c>
      <c r="I534" s="15" t="s">
        <v>193</v>
      </c>
      <c r="J534" s="15" t="s">
        <v>194</v>
      </c>
      <c r="K534" s="15" t="s">
        <v>508</v>
      </c>
    </row>
    <row r="535" spans="1:10" ht="12.75">
      <c r="A535" s="50"/>
      <c r="D535" s="18"/>
      <c r="F535" s="18"/>
      <c r="G535" s="58"/>
      <c r="H535" s="58"/>
      <c r="I535" s="58"/>
      <c r="J535" s="58"/>
    </row>
    <row r="536" spans="1:11" ht="12.75">
      <c r="A536" t="s">
        <v>417</v>
      </c>
      <c r="C536" s="4">
        <v>14</v>
      </c>
      <c r="D536" s="72">
        <v>9.5</v>
      </c>
      <c r="E536" s="4">
        <v>5</v>
      </c>
      <c r="F536" s="72">
        <v>2.5</v>
      </c>
      <c r="G536" s="4">
        <v>1</v>
      </c>
      <c r="H536" s="4">
        <v>1</v>
      </c>
      <c r="I536" s="4">
        <v>3.5</v>
      </c>
      <c r="J536" s="4">
        <v>7.5</v>
      </c>
      <c r="K536" s="4">
        <v>13</v>
      </c>
    </row>
    <row r="537" spans="1:11" ht="12.75">
      <c r="A537" t="s">
        <v>418</v>
      </c>
      <c r="C537" s="4">
        <v>15.9</v>
      </c>
      <c r="D537" s="72">
        <v>9.5</v>
      </c>
      <c r="E537" s="4">
        <v>4</v>
      </c>
      <c r="F537" s="72">
        <v>-3</v>
      </c>
      <c r="G537" s="4">
        <v>-6.7</v>
      </c>
      <c r="H537" s="4">
        <v>-6.3</v>
      </c>
      <c r="I537" s="4">
        <v>-0.7</v>
      </c>
      <c r="J537" s="4">
        <v>6.4</v>
      </c>
      <c r="K537" s="4">
        <v>13</v>
      </c>
    </row>
    <row r="538" spans="3:12" ht="12.75">
      <c r="C538" s="4"/>
      <c r="D538" s="72"/>
      <c r="E538" s="4"/>
      <c r="F538" s="72"/>
      <c r="G538" s="4"/>
      <c r="H538" s="4"/>
      <c r="I538" s="4"/>
      <c r="J538" s="4"/>
      <c r="K538" s="4"/>
      <c r="L538" s="4"/>
    </row>
    <row r="539" spans="1:14" ht="12.75">
      <c r="A539" t="s">
        <v>416</v>
      </c>
      <c r="B539">
        <v>21.11</v>
      </c>
      <c r="C539" s="24">
        <f>(B539-C536)*C118</f>
        <v>213.29999999999998</v>
      </c>
      <c r="D539" s="24">
        <f>(B539-D536)*D118</f>
        <v>359.90999999999997</v>
      </c>
      <c r="E539" s="24">
        <f>(B539-E536)*E118</f>
        <v>483.29999999999995</v>
      </c>
      <c r="F539" s="24">
        <f>(B539-F536)*F118</f>
        <v>576.91</v>
      </c>
      <c r="G539" s="24">
        <f>(B539-G536)*H118</f>
        <v>623.41</v>
      </c>
      <c r="H539" s="24">
        <f>(B539-H536)*I118</f>
        <v>563.0799999999999</v>
      </c>
      <c r="I539" s="24">
        <f>(B539-I536)*J118</f>
        <v>545.91</v>
      </c>
      <c r="J539" s="24">
        <f>(B539-J536)*K118</f>
        <v>408.29999999999995</v>
      </c>
      <c r="K539" s="24">
        <f>(B539-K536)*L118</f>
        <v>251.40999999999997</v>
      </c>
      <c r="L539" s="25">
        <f>SUM(C539:K539)</f>
        <v>4025.529999999999</v>
      </c>
      <c r="M539" s="50" t="s">
        <v>263</v>
      </c>
      <c r="N539" s="24" t="s">
        <v>318</v>
      </c>
    </row>
    <row r="540" spans="1:16" ht="12.75">
      <c r="A540" t="s">
        <v>319</v>
      </c>
      <c r="C540" s="24">
        <f>(B539-C537)*C118</f>
        <v>156.29999999999998</v>
      </c>
      <c r="D540" s="24">
        <f>(B539-D537)*D118</f>
        <v>359.90999999999997</v>
      </c>
      <c r="E540" s="24">
        <f>(B539-E537)*E118</f>
        <v>513.3</v>
      </c>
      <c r="F540" s="24">
        <f>(B539-F537)*F118</f>
        <v>747.41</v>
      </c>
      <c r="G540" s="24">
        <f>(B539-G537)*H118</f>
        <v>862.11</v>
      </c>
      <c r="H540" s="24">
        <f>(B539-H537)*I118</f>
        <v>767.48</v>
      </c>
      <c r="I540" s="24">
        <f>(B539-I537)*J118</f>
        <v>676.11</v>
      </c>
      <c r="J540" s="24">
        <f>(B539-J537)*K118</f>
        <v>441.29999999999995</v>
      </c>
      <c r="K540" s="24">
        <f>(B539-K537)*L118</f>
        <v>251.40999999999997</v>
      </c>
      <c r="L540" s="25">
        <f>SUM(C540:K540)</f>
        <v>4775.33</v>
      </c>
      <c r="M540" s="50" t="s">
        <v>263</v>
      </c>
      <c r="N540" s="24" t="str">
        <f>N539</f>
        <v>approx.HDD based om monthly avg. temp.</v>
      </c>
      <c r="P540" s="13"/>
    </row>
    <row r="541" spans="14:15" ht="12.75">
      <c r="N541" s="25">
        <f>((L540/L539)-1)*100</f>
        <v>18.62611879677958</v>
      </c>
      <c r="O541" s="1" t="s">
        <v>482</v>
      </c>
    </row>
    <row r="542" spans="1:14" ht="12.75">
      <c r="A542" t="s">
        <v>320</v>
      </c>
      <c r="C542">
        <v>133</v>
      </c>
      <c r="D542">
        <v>226</v>
      </c>
      <c r="E542">
        <v>350</v>
      </c>
      <c r="F542">
        <v>451</v>
      </c>
      <c r="G542">
        <v>457</v>
      </c>
      <c r="H542">
        <v>408</v>
      </c>
      <c r="I542">
        <v>382</v>
      </c>
      <c r="J542">
        <v>234</v>
      </c>
      <c r="K542">
        <v>149</v>
      </c>
      <c r="L542" s="1">
        <f>SUM(C542:K542)</f>
        <v>2790</v>
      </c>
      <c r="M542" s="50" t="s">
        <v>263</v>
      </c>
      <c r="N542" t="s">
        <v>322</v>
      </c>
    </row>
    <row r="543" spans="1:14" ht="12.75">
      <c r="A543" t="s">
        <v>321</v>
      </c>
      <c r="C543">
        <v>100</v>
      </c>
      <c r="D543">
        <v>266</v>
      </c>
      <c r="E543">
        <v>445</v>
      </c>
      <c r="F543">
        <v>632</v>
      </c>
      <c r="G543">
        <v>740</v>
      </c>
      <c r="H543">
        <v>700</v>
      </c>
      <c r="I543">
        <v>600</v>
      </c>
      <c r="J543">
        <v>333</v>
      </c>
      <c r="K543">
        <v>193</v>
      </c>
      <c r="L543" s="1">
        <f>SUM(C543:K543)</f>
        <v>4009</v>
      </c>
      <c r="M543" s="50" t="s">
        <v>263</v>
      </c>
      <c r="N543" t="str">
        <f>N542</f>
        <v>approx.HDD based on last 3yr airport data</v>
      </c>
    </row>
    <row r="544" spans="7:15" ht="12.75">
      <c r="G544" s="58"/>
      <c r="N544" s="25">
        <f>((L543/L542)-1)*100</f>
        <v>43.69175627240143</v>
      </c>
      <c r="O544" s="1" t="s">
        <v>482</v>
      </c>
    </row>
    <row r="545" spans="1:16" ht="12.75">
      <c r="A545" s="100" t="s">
        <v>483</v>
      </c>
      <c r="B545" s="50" t="s">
        <v>434</v>
      </c>
      <c r="G545" s="58"/>
      <c r="N545" s="13"/>
      <c r="O545" s="24"/>
      <c r="P545" s="13"/>
    </row>
    <row r="546" spans="2:16" ht="12.75">
      <c r="B546" s="50" t="s">
        <v>557</v>
      </c>
      <c r="G546" s="58"/>
      <c r="N546" s="13"/>
      <c r="O546" s="24"/>
      <c r="P546" s="13"/>
    </row>
    <row r="547" spans="2:10" ht="12.75">
      <c r="B547" s="1" t="s">
        <v>560</v>
      </c>
      <c r="D547" s="18"/>
      <c r="F547" s="18"/>
      <c r="G547" s="58"/>
      <c r="H547" s="58"/>
      <c r="I547" s="58"/>
      <c r="J547" s="58"/>
    </row>
    <row r="548" spans="2:10" ht="12.75">
      <c r="B548" s="1" t="s">
        <v>558</v>
      </c>
      <c r="D548" s="18"/>
      <c r="F548" s="18"/>
      <c r="G548" s="58"/>
      <c r="H548" s="58"/>
      <c r="I548" s="58"/>
      <c r="J548" s="58"/>
    </row>
    <row r="549" spans="2:10" ht="12.75">
      <c r="B549" s="1" t="s">
        <v>559</v>
      </c>
      <c r="D549" s="18"/>
      <c r="F549" s="18"/>
      <c r="G549" s="58"/>
      <c r="H549" s="58"/>
      <c r="I549" s="58"/>
      <c r="J549" s="58"/>
    </row>
    <row r="550" spans="2:10" ht="12.75">
      <c r="B550" s="1"/>
      <c r="D550" s="18"/>
      <c r="F550" s="18"/>
      <c r="G550" s="58"/>
      <c r="H550" s="58"/>
      <c r="I550" s="58"/>
      <c r="J550" s="58"/>
    </row>
    <row r="551" spans="2:10" ht="12.75">
      <c r="B551" s="1" t="s">
        <v>329</v>
      </c>
      <c r="D551" s="18"/>
      <c r="F551" s="18"/>
      <c r="G551" s="58"/>
      <c r="H551" s="58"/>
      <c r="I551" s="58"/>
      <c r="J551" s="58"/>
    </row>
    <row r="552" spans="1:12" ht="15.75">
      <c r="A552" s="99" t="s">
        <v>379</v>
      </c>
      <c r="L552" s="15"/>
    </row>
    <row r="553" spans="3:14" ht="12.75">
      <c r="C553" s="15" t="s">
        <v>220</v>
      </c>
      <c r="D553" s="15" t="s">
        <v>197</v>
      </c>
      <c r="E553" s="15" t="s">
        <v>196</v>
      </c>
      <c r="F553" s="15" t="s">
        <v>195</v>
      </c>
      <c r="G553" s="15" t="s">
        <v>191</v>
      </c>
      <c r="H553" s="15" t="s">
        <v>192</v>
      </c>
      <c r="I553" s="15" t="s">
        <v>193</v>
      </c>
      <c r="J553" s="15" t="s">
        <v>194</v>
      </c>
      <c r="K553" s="15" t="s">
        <v>508</v>
      </c>
      <c r="L553" s="15" t="s">
        <v>383</v>
      </c>
      <c r="M553" s="15" t="s">
        <v>199</v>
      </c>
      <c r="N553" s="15" t="s">
        <v>377</v>
      </c>
    </row>
    <row r="554" spans="3:11" ht="12.75">
      <c r="C554" s="80"/>
      <c r="D554" s="80"/>
      <c r="E554" s="11"/>
      <c r="F554" s="66"/>
      <c r="G554" s="66"/>
      <c r="H554" s="66"/>
      <c r="I554" s="66"/>
      <c r="J554" s="80"/>
      <c r="K554" s="66"/>
    </row>
    <row r="555" spans="1:10" ht="12.75">
      <c r="A555" s="14" t="s">
        <v>461</v>
      </c>
      <c r="C555" s="11"/>
      <c r="D555" s="80"/>
      <c r="E555" s="11"/>
      <c r="F555" s="11"/>
      <c r="G555" s="11"/>
      <c r="H555" s="11"/>
      <c r="I555" s="11"/>
      <c r="J555" s="11"/>
    </row>
    <row r="556" spans="1:17" ht="12.75">
      <c r="A556" s="1" t="s">
        <v>93</v>
      </c>
      <c r="C556" s="28">
        <v>0</v>
      </c>
      <c r="D556" s="28">
        <v>125.3</v>
      </c>
      <c r="E556" s="28">
        <v>126.38</v>
      </c>
      <c r="F556" s="37">
        <v>0</v>
      </c>
      <c r="G556" s="101">
        <v>0</v>
      </c>
      <c r="H556" s="37">
        <v>0</v>
      </c>
      <c r="I556" s="37">
        <v>0</v>
      </c>
      <c r="J556" s="37">
        <v>0</v>
      </c>
      <c r="K556" s="101">
        <v>0</v>
      </c>
      <c r="L556" s="34">
        <f>SUM(C556:K556)</f>
        <v>251.68</v>
      </c>
      <c r="M556" s="37">
        <v>0</v>
      </c>
      <c r="N556" s="28">
        <f>L556+M556</f>
        <v>251.68</v>
      </c>
      <c r="O556" s="13" t="s">
        <v>178</v>
      </c>
      <c r="P556" s="27">
        <f>L556/(22000000/6300)</f>
        <v>0.072072</v>
      </c>
      <c r="Q556" s="1" t="s">
        <v>179</v>
      </c>
    </row>
    <row r="557" spans="1:15" ht="12.75">
      <c r="A557" t="s">
        <v>18</v>
      </c>
      <c r="C557" s="22">
        <f aca="true" t="shared" si="20" ref="C557:J557">C556*0.0063</f>
        <v>0</v>
      </c>
      <c r="D557" s="22">
        <f t="shared" si="20"/>
        <v>0.78939</v>
      </c>
      <c r="E557" s="22">
        <f t="shared" si="20"/>
        <v>0.796194</v>
      </c>
      <c r="F557" s="22">
        <f t="shared" si="20"/>
        <v>0</v>
      </c>
      <c r="G557" s="22">
        <f t="shared" si="20"/>
        <v>0</v>
      </c>
      <c r="H557" s="22">
        <f t="shared" si="20"/>
        <v>0</v>
      </c>
      <c r="I557" s="22">
        <f t="shared" si="20"/>
        <v>0</v>
      </c>
      <c r="J557" s="22">
        <f t="shared" si="20"/>
        <v>0</v>
      </c>
      <c r="K557" s="22">
        <v>0</v>
      </c>
      <c r="L557" s="22">
        <f>SUM(C557:K557)</f>
        <v>1.5855839999999999</v>
      </c>
      <c r="M557" s="22">
        <v>0</v>
      </c>
      <c r="N557" s="22">
        <f>L557+M557</f>
        <v>1.5855839999999999</v>
      </c>
      <c r="O557" s="13" t="s">
        <v>14</v>
      </c>
    </row>
    <row r="558" spans="1:17" ht="12" customHeight="1">
      <c r="A558" t="s">
        <v>9</v>
      </c>
      <c r="C558" s="22">
        <f>C556*P558</f>
        <v>0</v>
      </c>
      <c r="D558" s="22">
        <f>D557*P558</f>
        <v>0.15787800000000002</v>
      </c>
      <c r="E558" s="22">
        <f>E557*P558</f>
        <v>0.1592388</v>
      </c>
      <c r="F558" s="22"/>
      <c r="G558" s="22"/>
      <c r="H558" s="22"/>
      <c r="I558" s="22"/>
      <c r="J558" s="22"/>
      <c r="K558" s="22"/>
      <c r="L558" s="22"/>
      <c r="M558" s="22"/>
      <c r="N558" s="22"/>
      <c r="O558" s="13"/>
      <c r="P558">
        <v>0.2</v>
      </c>
      <c r="Q558" t="s">
        <v>11</v>
      </c>
    </row>
    <row r="559" spans="1:17" ht="12.75">
      <c r="A559" t="s">
        <v>218</v>
      </c>
      <c r="C559" s="22">
        <f>C557*P559</f>
        <v>0</v>
      </c>
      <c r="D559" s="22">
        <f>D557*0.72</f>
        <v>0.5683608</v>
      </c>
      <c r="E559" s="22">
        <f>E557*0.72</f>
        <v>0.5732596799999999</v>
      </c>
      <c r="F559" s="22">
        <v>0</v>
      </c>
      <c r="G559" s="22">
        <f>G557*0.72</f>
        <v>0</v>
      </c>
      <c r="H559" s="22">
        <f>H557*0.72</f>
        <v>0</v>
      </c>
      <c r="I559" s="22">
        <f>I557*0.72</f>
        <v>0</v>
      </c>
      <c r="J559" s="22">
        <f>J557*0.72</f>
        <v>0</v>
      </c>
      <c r="K559" s="22">
        <v>0</v>
      </c>
      <c r="L559" s="22">
        <f>SUM(C559:K559)</f>
        <v>1.1416204799999998</v>
      </c>
      <c r="M559" s="22">
        <v>0</v>
      </c>
      <c r="N559" s="22">
        <f>L559+M559</f>
        <v>1.1416204799999998</v>
      </c>
      <c r="O559" s="13" t="s">
        <v>16</v>
      </c>
      <c r="P559">
        <v>0.72</v>
      </c>
      <c r="Q559" t="s">
        <v>17</v>
      </c>
    </row>
    <row r="560" ht="12.75">
      <c r="F560" s="22"/>
    </row>
    <row r="561" spans="1:15" ht="12.75">
      <c r="A561" s="1" t="s">
        <v>95</v>
      </c>
      <c r="C561" s="28">
        <v>0</v>
      </c>
      <c r="D561" s="28">
        <v>0</v>
      </c>
      <c r="E561" s="27">
        <f>E562*1000/P562</f>
        <v>0.28886530386230447</v>
      </c>
      <c r="F561" s="23">
        <v>0</v>
      </c>
      <c r="G561" s="23">
        <v>0</v>
      </c>
      <c r="H561" s="23">
        <v>0</v>
      </c>
      <c r="I561" s="23">
        <v>0</v>
      </c>
      <c r="J561" s="49">
        <v>0</v>
      </c>
      <c r="K561" s="76">
        <v>0</v>
      </c>
      <c r="L561" s="28">
        <f>SUM(D561:K561)</f>
        <v>0.28886530386230447</v>
      </c>
      <c r="M561" s="23">
        <v>0</v>
      </c>
      <c r="N561" s="28">
        <f>L561+M561</f>
        <v>0.28886530386230447</v>
      </c>
      <c r="O561" t="s">
        <v>404</v>
      </c>
    </row>
    <row r="562" spans="1:17" ht="12.75">
      <c r="A562" t="s">
        <v>19</v>
      </c>
      <c r="C562" s="22">
        <f>C561*P562/1000</f>
        <v>0</v>
      </c>
      <c r="D562" s="22">
        <f>D561*P562/1000</f>
        <v>0</v>
      </c>
      <c r="E562" s="21">
        <f>6.26/1000</f>
        <v>0.00626</v>
      </c>
      <c r="F562" s="22">
        <f>F561*P562/1000</f>
        <v>0</v>
      </c>
      <c r="G562" s="22">
        <f>G561*P562/1000</f>
        <v>0</v>
      </c>
      <c r="H562" s="22">
        <f>H561*P562/1000</f>
        <v>0</v>
      </c>
      <c r="I562" s="22">
        <f>I561*P562/1000</f>
        <v>0</v>
      </c>
      <c r="J562" s="22">
        <f>J561*P562/1000</f>
        <v>0</v>
      </c>
      <c r="K562" s="22">
        <f>K561*P562/1000</f>
        <v>0</v>
      </c>
      <c r="L562" s="22">
        <f>SUM(D562:K562)</f>
        <v>0.00626</v>
      </c>
      <c r="M562" s="22">
        <f>M561*P562/1000</f>
        <v>0</v>
      </c>
      <c r="N562" s="22">
        <f>L562+M562</f>
        <v>0.00626</v>
      </c>
      <c r="O562" s="13" t="s">
        <v>22</v>
      </c>
      <c r="P562" s="68">
        <v>21.671</v>
      </c>
      <c r="Q562" t="s">
        <v>25</v>
      </c>
    </row>
    <row r="563" spans="1:17" ht="12.75">
      <c r="A563" t="s">
        <v>139</v>
      </c>
      <c r="C563" s="22">
        <f>C562*P563</f>
        <v>0</v>
      </c>
      <c r="D563" s="22">
        <f>D562*P563</f>
        <v>0</v>
      </c>
      <c r="E563" s="21">
        <f>E562*P563</f>
        <v>0.00720526</v>
      </c>
      <c r="F563" s="22">
        <f>F562*P563</f>
        <v>0</v>
      </c>
      <c r="G563" s="22">
        <f>G562*P563</f>
        <v>0</v>
      </c>
      <c r="H563" s="22">
        <f>H562*P563</f>
        <v>0</v>
      </c>
      <c r="I563" s="22">
        <f>I562*P563</f>
        <v>0</v>
      </c>
      <c r="J563" s="22">
        <f>J562*P563</f>
        <v>0</v>
      </c>
      <c r="K563" s="22">
        <f>K562*P563</f>
        <v>0</v>
      </c>
      <c r="L563" s="22">
        <f>SUM(C563:K563)</f>
        <v>0.00720526</v>
      </c>
      <c r="M563" s="22">
        <f>M562*P563</f>
        <v>0</v>
      </c>
      <c r="N563" s="22">
        <f>L563+M563</f>
        <v>0.00720526</v>
      </c>
      <c r="O563" s="13" t="s">
        <v>23</v>
      </c>
      <c r="P563">
        <v>1.151</v>
      </c>
      <c r="Q563" t="s">
        <v>11</v>
      </c>
    </row>
    <row r="564" spans="1:17" ht="12.75">
      <c r="A564" t="s">
        <v>219</v>
      </c>
      <c r="C564" s="22">
        <f>C562*P564</f>
        <v>0</v>
      </c>
      <c r="D564" s="22">
        <f>D562*P564</f>
        <v>0</v>
      </c>
      <c r="E564" s="21">
        <f>E562*P564</f>
        <v>0.0048202</v>
      </c>
      <c r="F564" s="22">
        <f>F562*P564</f>
        <v>0</v>
      </c>
      <c r="G564" s="22">
        <f>G562*P564</f>
        <v>0</v>
      </c>
      <c r="H564" s="22">
        <f>H562*P564</f>
        <v>0</v>
      </c>
      <c r="I564" s="22">
        <f>I562*P564</f>
        <v>0</v>
      </c>
      <c r="J564" s="22">
        <f>J562*P564</f>
        <v>0</v>
      </c>
      <c r="K564" s="22">
        <f>K562*P564</f>
        <v>0</v>
      </c>
      <c r="L564" s="22">
        <f>SUM(C564:K564)</f>
        <v>0.0048202</v>
      </c>
      <c r="M564" s="22">
        <f>M562*P564</f>
        <v>0</v>
      </c>
      <c r="N564" s="22">
        <f>L564+M564</f>
        <v>0.0048202</v>
      </c>
      <c r="O564" s="13" t="s">
        <v>24</v>
      </c>
      <c r="P564">
        <v>0.77</v>
      </c>
      <c r="Q564" t="s">
        <v>17</v>
      </c>
    </row>
    <row r="565" spans="3:15" ht="12.75">
      <c r="C565" s="22"/>
      <c r="D565" s="22"/>
      <c r="E565" s="22"/>
      <c r="F565" s="22"/>
      <c r="G565" s="22"/>
      <c r="H565" s="22"/>
      <c r="I565" s="22"/>
      <c r="J565" s="22"/>
      <c r="K565" s="22"/>
      <c r="L565" s="22"/>
      <c r="M565" s="22"/>
      <c r="N565" s="22"/>
      <c r="O565" s="13"/>
    </row>
    <row r="566" spans="1:15" ht="12.75">
      <c r="A566" s="1" t="s">
        <v>94</v>
      </c>
      <c r="C566" s="28">
        <v>0</v>
      </c>
      <c r="D566" s="28">
        <v>8.84</v>
      </c>
      <c r="E566" s="28">
        <v>27.42</v>
      </c>
      <c r="F566" s="23">
        <v>0</v>
      </c>
      <c r="G566" s="23">
        <v>0</v>
      </c>
      <c r="H566" s="23">
        <v>0</v>
      </c>
      <c r="I566" s="23">
        <v>0</v>
      </c>
      <c r="J566" s="23">
        <v>0</v>
      </c>
      <c r="K566" s="23">
        <v>0</v>
      </c>
      <c r="L566" s="28">
        <f>SUM(C566:K566)</f>
        <v>36.260000000000005</v>
      </c>
      <c r="M566" s="23">
        <v>0</v>
      </c>
      <c r="N566" s="28">
        <f>L566+M566</f>
        <v>36.260000000000005</v>
      </c>
      <c r="O566" t="s">
        <v>768</v>
      </c>
    </row>
    <row r="567" spans="1:15" ht="12.75">
      <c r="A567" t="s">
        <v>81</v>
      </c>
      <c r="C567" s="22">
        <f>C566*P574/1000000</f>
        <v>0</v>
      </c>
      <c r="D567" s="22">
        <f>D566*P574/1000000</f>
        <v>0.030170919999999997</v>
      </c>
      <c r="E567" s="22">
        <f>E566*P574/1000000</f>
        <v>0.09358446000000001</v>
      </c>
      <c r="F567" s="22">
        <f>F566*P574/1000000</f>
        <v>0</v>
      </c>
      <c r="G567" s="22">
        <f>G566*P574/1000000</f>
        <v>0</v>
      </c>
      <c r="H567" s="22">
        <f>H566*P574/1000000</f>
        <v>0</v>
      </c>
      <c r="I567" s="22">
        <f>I566*P574/1000000</f>
        <v>0</v>
      </c>
      <c r="J567" s="22">
        <f>J566*P574/1000000</f>
        <v>0</v>
      </c>
      <c r="K567" s="22">
        <f>K566*P574/1000000</f>
        <v>0</v>
      </c>
      <c r="L567" s="22">
        <f>SUM(C567:K567)</f>
        <v>0.12375538</v>
      </c>
      <c r="M567" s="22">
        <f>M566*P574/1000000</f>
        <v>0</v>
      </c>
      <c r="N567" s="22">
        <f>L567+M567</f>
        <v>0.12375538</v>
      </c>
      <c r="O567" t="s">
        <v>769</v>
      </c>
    </row>
    <row r="568" spans="1:17" ht="12.75">
      <c r="A568" t="s">
        <v>10</v>
      </c>
      <c r="C568" s="22">
        <f>C567*P568</f>
        <v>0</v>
      </c>
      <c r="D568" s="22">
        <f>D567*P568</f>
        <v>0.1015251458</v>
      </c>
      <c r="E568" s="22">
        <f>E567*P568</f>
        <v>0.31491170790000006</v>
      </c>
      <c r="F568" s="22">
        <f>F567*P568</f>
        <v>0</v>
      </c>
      <c r="G568" s="22">
        <f>G567*P568</f>
        <v>0</v>
      </c>
      <c r="H568" s="22">
        <f>H567*P568</f>
        <v>0</v>
      </c>
      <c r="I568" s="22">
        <f>I567*P568</f>
        <v>0</v>
      </c>
      <c r="J568" s="22">
        <f>J567*P568</f>
        <v>0</v>
      </c>
      <c r="K568" s="22">
        <f>K567*P568</f>
        <v>0</v>
      </c>
      <c r="L568" s="22">
        <f>SUM(C568:K568)</f>
        <v>0.41643685370000005</v>
      </c>
      <c r="M568" s="22">
        <f>M567*P568</f>
        <v>0</v>
      </c>
      <c r="N568" s="22">
        <f>L568+M568</f>
        <v>0.41643685370000005</v>
      </c>
      <c r="O568" s="58" t="s">
        <v>770</v>
      </c>
      <c r="P568" s="21">
        <v>3.365</v>
      </c>
      <c r="Q568" t="s">
        <v>11</v>
      </c>
    </row>
    <row r="569" spans="1:17" ht="12.75">
      <c r="A569" t="s">
        <v>82</v>
      </c>
      <c r="C569" s="22">
        <f>C567*P569</f>
        <v>0</v>
      </c>
      <c r="D569" s="22">
        <f>D567*P569</f>
        <v>0.029869210799999997</v>
      </c>
      <c r="E569" s="22">
        <f>E567*P569</f>
        <v>0.09264861540000001</v>
      </c>
      <c r="F569" s="22">
        <f>F567*P569</f>
        <v>0</v>
      </c>
      <c r="G569" s="22">
        <f>G567*P569</f>
        <v>0</v>
      </c>
      <c r="H569" s="22">
        <f>H567*P569</f>
        <v>0</v>
      </c>
      <c r="I569" s="22">
        <f>I567*P569</f>
        <v>0</v>
      </c>
      <c r="J569" s="22">
        <f>J567*P569</f>
        <v>0</v>
      </c>
      <c r="K569" s="22">
        <f>K567*P569</f>
        <v>0</v>
      </c>
      <c r="L569" s="22">
        <f>SUM(C569:K569)</f>
        <v>0.12251782620000001</v>
      </c>
      <c r="M569" s="22">
        <f>M567*P569</f>
        <v>0</v>
      </c>
      <c r="N569" s="22">
        <f>L569+M569</f>
        <v>0.12251782620000001</v>
      </c>
      <c r="O569" s="58" t="s">
        <v>771</v>
      </c>
      <c r="P569">
        <v>0.99</v>
      </c>
      <c r="Q569" t="s">
        <v>17</v>
      </c>
    </row>
    <row r="570" spans="1:15" ht="12.75">
      <c r="A570" s="9"/>
      <c r="B570" s="58"/>
      <c r="C570" s="27"/>
      <c r="D570" s="27"/>
      <c r="E570" s="27"/>
      <c r="F570" s="27"/>
      <c r="G570" s="27"/>
      <c r="H570" s="27"/>
      <c r="I570" s="27"/>
      <c r="J570" s="42"/>
      <c r="K570" s="42"/>
      <c r="L570" s="89"/>
      <c r="O570" s="13"/>
    </row>
    <row r="571" spans="1:15" ht="15.75">
      <c r="A571" s="9" t="s">
        <v>20</v>
      </c>
      <c r="C571" s="27">
        <f aca="true" t="shared" si="21" ref="C571:K571">C557+C562+C567</f>
        <v>0</v>
      </c>
      <c r="D571" s="27">
        <f t="shared" si="21"/>
        <v>0.81956092</v>
      </c>
      <c r="E571" s="27">
        <f t="shared" si="21"/>
        <v>0.89603846</v>
      </c>
      <c r="F571" s="32">
        <f t="shared" si="21"/>
        <v>0</v>
      </c>
      <c r="G571" s="32">
        <f t="shared" si="21"/>
        <v>0</v>
      </c>
      <c r="H571" s="32">
        <f t="shared" si="21"/>
        <v>0</v>
      </c>
      <c r="I571" s="32">
        <f t="shared" si="21"/>
        <v>0</v>
      </c>
      <c r="J571" s="75">
        <f t="shared" si="21"/>
        <v>0</v>
      </c>
      <c r="K571" s="75">
        <f t="shared" si="21"/>
        <v>0</v>
      </c>
      <c r="L571" s="94">
        <f>SUM(C571:K571)</f>
        <v>1.71559938</v>
      </c>
      <c r="M571" s="22">
        <f>M557+M562+M567</f>
        <v>0</v>
      </c>
      <c r="N571" s="94">
        <f>L571+M571</f>
        <v>1.71559938</v>
      </c>
      <c r="O571" t="s">
        <v>89</v>
      </c>
    </row>
    <row r="572" spans="1:15" ht="12.75">
      <c r="A572" s="9" t="s">
        <v>88</v>
      </c>
      <c r="C572" s="25">
        <f>C571*1000000/P574</f>
        <v>0</v>
      </c>
      <c r="D572" s="25">
        <f>D571*1000000/P574</f>
        <v>240.12918839730443</v>
      </c>
      <c r="E572" s="25">
        <f>E571*1000000/P574</f>
        <v>262.53690594784644</v>
      </c>
      <c r="F572" s="33">
        <f>F571*1000000/P574</f>
        <v>0</v>
      </c>
      <c r="G572" s="33">
        <f>G571*1000000/P574</f>
        <v>0</v>
      </c>
      <c r="H572" s="33">
        <f>H571*1000000/P574</f>
        <v>0</v>
      </c>
      <c r="I572" s="33">
        <f>I571*1000000/P574</f>
        <v>0</v>
      </c>
      <c r="J572" s="106">
        <f>J571*1000000/P574</f>
        <v>0</v>
      </c>
      <c r="K572" s="106">
        <f>K571*1000000/P574</f>
        <v>0</v>
      </c>
      <c r="L572" s="25">
        <f>L571*1000000/P574</f>
        <v>502.66609434515095</v>
      </c>
      <c r="M572" s="24">
        <f>M571*1000000/P574</f>
        <v>0</v>
      </c>
      <c r="N572" s="25">
        <f>SUM(L572:M572)</f>
        <v>502.66609434515095</v>
      </c>
      <c r="O572" t="s">
        <v>90</v>
      </c>
    </row>
    <row r="573" spans="1:15" ht="15.75">
      <c r="A573" s="102" t="s">
        <v>12</v>
      </c>
      <c r="C573" s="27">
        <f aca="true" t="shared" si="22" ref="C573:K573">C558+C563+C568</f>
        <v>0</v>
      </c>
      <c r="D573" s="27">
        <f t="shared" si="22"/>
        <v>0.2594031458</v>
      </c>
      <c r="E573" s="27">
        <f t="shared" si="22"/>
        <v>0.48135576790000006</v>
      </c>
      <c r="F573" s="32">
        <f t="shared" si="22"/>
        <v>0</v>
      </c>
      <c r="G573" s="32">
        <f t="shared" si="22"/>
        <v>0</v>
      </c>
      <c r="H573" s="32">
        <f t="shared" si="22"/>
        <v>0</v>
      </c>
      <c r="I573" s="32">
        <f t="shared" si="22"/>
        <v>0</v>
      </c>
      <c r="J573" s="75">
        <f t="shared" si="22"/>
        <v>0</v>
      </c>
      <c r="K573" s="75">
        <f t="shared" si="22"/>
        <v>0</v>
      </c>
      <c r="L573" s="94">
        <f>SUM(C573:K573)</f>
        <v>0.7407589137000001</v>
      </c>
      <c r="M573" s="22">
        <f>M558+M563+M568</f>
        <v>0</v>
      </c>
      <c r="N573" s="94">
        <f>L573+M573</f>
        <v>0.7407589137000001</v>
      </c>
      <c r="O573" t="s">
        <v>91</v>
      </c>
    </row>
    <row r="574" spans="1:17" ht="12.75">
      <c r="A574" s="102" t="s">
        <v>13</v>
      </c>
      <c r="C574" s="25">
        <f>C573*1000000/P574</f>
        <v>0</v>
      </c>
      <c r="D574" s="25">
        <f>D573*1000000/P574</f>
        <v>76.00443767946088</v>
      </c>
      <c r="E574" s="25">
        <f>E573*1000000/P574</f>
        <v>141.035970670964</v>
      </c>
      <c r="F574" s="33">
        <f>F573*1000000/P574</f>
        <v>0</v>
      </c>
      <c r="G574" s="33">
        <f>G573*1000000/P574</f>
        <v>0</v>
      </c>
      <c r="H574" s="33">
        <f>H573*1000000/P574</f>
        <v>0</v>
      </c>
      <c r="I574" s="33">
        <f>I573*1000000/P574</f>
        <v>0</v>
      </c>
      <c r="J574" s="33">
        <f>J573*1000000/P574</f>
        <v>0</v>
      </c>
      <c r="K574" s="33">
        <f>K573*1000000/P574</f>
        <v>0</v>
      </c>
      <c r="L574" s="25">
        <f>SUM(C574:K574)</f>
        <v>217.04040835042485</v>
      </c>
      <c r="M574" s="33">
        <f>M573*1000000/P574</f>
        <v>0</v>
      </c>
      <c r="N574" s="25">
        <f>L574+M574</f>
        <v>217.04040835042485</v>
      </c>
      <c r="O574" t="s">
        <v>92</v>
      </c>
      <c r="P574">
        <f>O73</f>
        <v>3413</v>
      </c>
      <c r="Q574" t="s">
        <v>439</v>
      </c>
    </row>
    <row r="575" spans="1:14" ht="15.75">
      <c r="A575" s="102"/>
      <c r="C575" s="27"/>
      <c r="D575" s="27"/>
      <c r="E575" s="27"/>
      <c r="F575" s="32"/>
      <c r="G575" s="32"/>
      <c r="H575" s="32"/>
      <c r="I575" s="32"/>
      <c r="J575" s="32"/>
      <c r="K575" s="32"/>
      <c r="L575" s="94"/>
      <c r="M575" s="32"/>
      <c r="N575" s="94"/>
    </row>
    <row r="576" spans="1:15" ht="15.75">
      <c r="A576" s="1" t="s">
        <v>201</v>
      </c>
      <c r="C576" s="27">
        <f aca="true" t="shared" si="23" ref="C576:K576">C559+C564+C569</f>
        <v>0</v>
      </c>
      <c r="D576" s="27">
        <f t="shared" si="23"/>
        <v>0.5982300108</v>
      </c>
      <c r="E576" s="27">
        <f t="shared" si="23"/>
        <v>0.6707284954</v>
      </c>
      <c r="F576" s="32">
        <f t="shared" si="23"/>
        <v>0</v>
      </c>
      <c r="G576" s="32">
        <f t="shared" si="23"/>
        <v>0</v>
      </c>
      <c r="H576" s="32">
        <f t="shared" si="23"/>
        <v>0</v>
      </c>
      <c r="I576" s="32">
        <f t="shared" si="23"/>
        <v>0</v>
      </c>
      <c r="J576" s="75">
        <f t="shared" si="23"/>
        <v>0</v>
      </c>
      <c r="K576" s="75">
        <f t="shared" si="23"/>
        <v>0</v>
      </c>
      <c r="L576" s="94">
        <f>SUM(C576:K576)</f>
        <v>1.2689585062000002</v>
      </c>
      <c r="M576" s="22">
        <f>M559+M564+M569</f>
        <v>0</v>
      </c>
      <c r="N576" s="94">
        <f>L576+M576</f>
        <v>1.2689585062000002</v>
      </c>
      <c r="O576" s="22" t="s">
        <v>205</v>
      </c>
    </row>
    <row r="577" spans="6:11" ht="12.75">
      <c r="F577" s="4"/>
      <c r="G577" s="4"/>
      <c r="H577" s="4"/>
      <c r="I577" s="4"/>
      <c r="J577" s="4"/>
      <c r="K577" s="4"/>
    </row>
    <row r="578" spans="1:15" ht="15.75">
      <c r="A578" s="1" t="s">
        <v>202</v>
      </c>
      <c r="C578" s="27">
        <f>C202</f>
        <v>0</v>
      </c>
      <c r="D578" s="27">
        <f>D202</f>
        <v>0</v>
      </c>
      <c r="E578" s="27">
        <f>E202</f>
        <v>1.4356147690208312</v>
      </c>
      <c r="F578" s="32">
        <f>F202</f>
        <v>3.0573917048435204</v>
      </c>
      <c r="G578" s="32">
        <f>H202</f>
        <v>3.466187420668513</v>
      </c>
      <c r="H578" s="32">
        <f>I202</f>
        <v>2.059804500948097</v>
      </c>
      <c r="I578" s="32">
        <f>J202</f>
        <v>1.209288893451438</v>
      </c>
      <c r="J578" s="75">
        <f>K202</f>
        <v>0</v>
      </c>
      <c r="K578" s="32">
        <f>L202</f>
        <v>0</v>
      </c>
      <c r="L578" s="94">
        <f>SUM(C578:K578)</f>
        <v>11.2282872889324</v>
      </c>
      <c r="M578" s="11" t="s">
        <v>259</v>
      </c>
      <c r="N578" s="94">
        <f>L578</f>
        <v>11.2282872889324</v>
      </c>
      <c r="O578" t="s">
        <v>444</v>
      </c>
    </row>
    <row r="579" spans="1:15" ht="15.75">
      <c r="A579" s="1" t="s">
        <v>203</v>
      </c>
      <c r="C579" s="27">
        <f aca="true" t="shared" si="24" ref="C579:K579">C578</f>
        <v>0</v>
      </c>
      <c r="D579" s="27">
        <f t="shared" si="24"/>
        <v>0</v>
      </c>
      <c r="E579" s="27">
        <f t="shared" si="24"/>
        <v>1.4356147690208312</v>
      </c>
      <c r="F579" s="32">
        <f t="shared" si="24"/>
        <v>3.0573917048435204</v>
      </c>
      <c r="G579" s="32">
        <f t="shared" si="24"/>
        <v>3.466187420668513</v>
      </c>
      <c r="H579" s="32">
        <f t="shared" si="24"/>
        <v>2.059804500948097</v>
      </c>
      <c r="I579" s="75">
        <f t="shared" si="24"/>
        <v>1.209288893451438</v>
      </c>
      <c r="J579" s="75">
        <f t="shared" si="24"/>
        <v>0</v>
      </c>
      <c r="K579" s="32">
        <f t="shared" si="24"/>
        <v>0</v>
      </c>
      <c r="L579" s="94">
        <f>SUM(C579:K579)</f>
        <v>11.2282872889324</v>
      </c>
      <c r="M579" s="11" t="str">
        <f>M578</f>
        <v>n/a</v>
      </c>
      <c r="N579" s="94">
        <f>L579</f>
        <v>11.2282872889324</v>
      </c>
      <c r="O579" t="s">
        <v>685</v>
      </c>
    </row>
    <row r="580" spans="1:12" ht="12.75">
      <c r="A580" s="1" t="s">
        <v>21</v>
      </c>
      <c r="C580" s="11" t="s">
        <v>96</v>
      </c>
      <c r="D580" s="104" t="s">
        <v>97</v>
      </c>
      <c r="E580" s="55"/>
      <c r="F580" s="55"/>
      <c r="G580" s="55"/>
      <c r="H580" s="55"/>
      <c r="I580" s="41"/>
      <c r="J580" s="11"/>
      <c r="K580" s="11"/>
      <c r="L580" s="23"/>
    </row>
    <row r="582" ht="12.75">
      <c r="A582" s="14" t="s">
        <v>588</v>
      </c>
    </row>
    <row r="583" spans="1:15" ht="12.75">
      <c r="A583" s="1" t="s">
        <v>190</v>
      </c>
      <c r="C583" s="22">
        <f>C165</f>
        <v>4.197493361859227</v>
      </c>
      <c r="D583" s="22">
        <f>D165</f>
        <v>3.4886266985209238</v>
      </c>
      <c r="E583" s="22">
        <f>E165</f>
        <v>2.549387477097198</v>
      </c>
      <c r="F583" s="22">
        <f>F165</f>
        <v>3.092157790948535</v>
      </c>
      <c r="G583" s="22">
        <f>H165</f>
        <v>4.082547820610515</v>
      </c>
      <c r="H583" s="22">
        <f>I165</f>
        <v>4.808487763391555</v>
      </c>
      <c r="I583" s="22">
        <f>J165</f>
        <v>4.756911519488391</v>
      </c>
      <c r="J583" s="22">
        <f>K165</f>
        <v>4.186988231425853</v>
      </c>
      <c r="K583" s="22">
        <f>L165</f>
        <v>4.967441241409941</v>
      </c>
      <c r="L583" s="23">
        <f>SUM(C583:K583)</f>
        <v>36.13004190475214</v>
      </c>
      <c r="M583" s="11" t="s">
        <v>259</v>
      </c>
      <c r="N583" s="23">
        <f aca="true" t="shared" si="25" ref="N583:N589">L583</f>
        <v>36.13004190475214</v>
      </c>
      <c r="O583" t="s">
        <v>772</v>
      </c>
    </row>
    <row r="584" spans="1:15" ht="12.75">
      <c r="A584" t="s">
        <v>206</v>
      </c>
      <c r="C584" s="24">
        <f>C123</f>
        <v>105.69750000000002</v>
      </c>
      <c r="D584" s="24">
        <f>D123</f>
        <v>98.332</v>
      </c>
      <c r="E584" s="24">
        <f>E123</f>
        <v>54.6</v>
      </c>
      <c r="F584" s="24">
        <f>F123</f>
        <v>46.77899999999999</v>
      </c>
      <c r="G584" s="24">
        <f>H123</f>
        <v>59.039500000000004</v>
      </c>
      <c r="H584" s="24">
        <f>I123</f>
        <v>71.05</v>
      </c>
      <c r="I584" s="24">
        <f>J123</f>
        <v>90.148</v>
      </c>
      <c r="J584" s="24">
        <f>K123</f>
        <v>100.0875</v>
      </c>
      <c r="K584" s="24">
        <f>L123</f>
        <v>117.17999999999999</v>
      </c>
      <c r="L584" s="24">
        <f>SUM(C584:K584)</f>
        <v>742.9134999999999</v>
      </c>
      <c r="M584" s="55" t="str">
        <f aca="true" t="shared" si="26" ref="M584:M589">M583</f>
        <v>n/a</v>
      </c>
      <c r="N584" s="24">
        <f t="shared" si="25"/>
        <v>742.9134999999999</v>
      </c>
      <c r="O584" t="s">
        <v>773</v>
      </c>
    </row>
    <row r="585" spans="1:15" ht="12.75">
      <c r="A585" t="s">
        <v>298</v>
      </c>
      <c r="C585" s="21">
        <f aca="true" t="shared" si="27" ref="C585:L585">C583/C584</f>
        <v>0.03971232396091891</v>
      </c>
      <c r="D585" s="21">
        <f t="shared" si="27"/>
        <v>0.035478040704154536</v>
      </c>
      <c r="E585" s="21">
        <f t="shared" si="27"/>
        <v>0.04669207833511352</v>
      </c>
      <c r="F585" s="21">
        <f t="shared" si="27"/>
        <v>0.06610140855829615</v>
      </c>
      <c r="G585" s="21">
        <f t="shared" si="27"/>
        <v>0.06914943081514095</v>
      </c>
      <c r="H585" s="21">
        <f t="shared" si="27"/>
        <v>0.06767751954104934</v>
      </c>
      <c r="I585" s="21">
        <f t="shared" si="27"/>
        <v>0.05276779872530051</v>
      </c>
      <c r="J585" s="21">
        <f t="shared" si="27"/>
        <v>0.04183327819583717</v>
      </c>
      <c r="K585" s="21">
        <f t="shared" si="27"/>
        <v>0.04239154498557724</v>
      </c>
      <c r="L585" s="21">
        <f t="shared" si="27"/>
        <v>0.048632905317714845</v>
      </c>
      <c r="M585" s="55" t="str">
        <f t="shared" si="26"/>
        <v>n/a</v>
      </c>
      <c r="N585" s="21">
        <f t="shared" si="25"/>
        <v>0.048632905317714845</v>
      </c>
      <c r="O585" t="s">
        <v>774</v>
      </c>
    </row>
    <row r="586" spans="1:15" ht="12.75">
      <c r="A586" t="s">
        <v>208</v>
      </c>
      <c r="C586" s="76">
        <v>57.4</v>
      </c>
      <c r="D586" s="76">
        <v>52.7</v>
      </c>
      <c r="E586" s="23">
        <v>87.2</v>
      </c>
      <c r="F586" s="23">
        <v>0</v>
      </c>
      <c r="G586" s="23">
        <v>0</v>
      </c>
      <c r="H586" s="23">
        <v>0</v>
      </c>
      <c r="I586" s="23">
        <v>0</v>
      </c>
      <c r="J586" s="49">
        <v>0</v>
      </c>
      <c r="K586" s="49">
        <v>0</v>
      </c>
      <c r="L586" s="23">
        <f>SUM(C586:K586)</f>
        <v>197.3</v>
      </c>
      <c r="M586" s="55" t="str">
        <f t="shared" si="26"/>
        <v>n/a</v>
      </c>
      <c r="N586" s="23">
        <f t="shared" si="25"/>
        <v>197.3</v>
      </c>
      <c r="O586" t="s">
        <v>775</v>
      </c>
    </row>
    <row r="587" spans="1:15" ht="12.75">
      <c r="A587" t="s">
        <v>421</v>
      </c>
      <c r="C587" s="49">
        <f>C586</f>
        <v>57.4</v>
      </c>
      <c r="D587" s="49">
        <f>D586</f>
        <v>52.7</v>
      </c>
      <c r="E587" s="23">
        <v>87.2</v>
      </c>
      <c r="F587" s="23">
        <v>0</v>
      </c>
      <c r="G587" s="23">
        <v>0</v>
      </c>
      <c r="H587" s="23">
        <v>0</v>
      </c>
      <c r="I587" s="23">
        <v>0</v>
      </c>
      <c r="J587" s="23">
        <v>0</v>
      </c>
      <c r="K587" s="23">
        <v>0</v>
      </c>
      <c r="L587" s="23">
        <f>SUM(C587:K587)</f>
        <v>197.3</v>
      </c>
      <c r="M587" s="55" t="str">
        <f t="shared" si="26"/>
        <v>n/a</v>
      </c>
      <c r="N587" s="23">
        <f t="shared" si="25"/>
        <v>197.3</v>
      </c>
      <c r="O587" t="s">
        <v>776</v>
      </c>
    </row>
    <row r="588" spans="1:15" ht="12.75">
      <c r="A588" s="1" t="s">
        <v>207</v>
      </c>
      <c r="C588" s="42">
        <f aca="true" t="shared" si="28" ref="C588:K588">C585*C587</f>
        <v>2.279487395356745</v>
      </c>
      <c r="D588" s="42">
        <f t="shared" si="28"/>
        <v>1.8696927451089442</v>
      </c>
      <c r="E588" s="27">
        <f t="shared" si="28"/>
        <v>4.071549230821899</v>
      </c>
      <c r="F588" s="32">
        <f t="shared" si="28"/>
        <v>0</v>
      </c>
      <c r="G588" s="32">
        <f t="shared" si="28"/>
        <v>0</v>
      </c>
      <c r="H588" s="32">
        <f t="shared" si="28"/>
        <v>0</v>
      </c>
      <c r="I588" s="32">
        <f t="shared" si="28"/>
        <v>0</v>
      </c>
      <c r="J588" s="74">
        <f t="shared" si="28"/>
        <v>0</v>
      </c>
      <c r="K588" s="75">
        <f t="shared" si="28"/>
        <v>0</v>
      </c>
      <c r="L588" s="27">
        <f>SUM(C588:K588)</f>
        <v>8.220729371287588</v>
      </c>
      <c r="M588" s="55" t="str">
        <f t="shared" si="26"/>
        <v>n/a</v>
      </c>
      <c r="N588" s="27">
        <f t="shared" si="25"/>
        <v>8.220729371287588</v>
      </c>
      <c r="O588" t="s">
        <v>764</v>
      </c>
    </row>
    <row r="589" spans="1:14" ht="12.75">
      <c r="A589" s="60" t="s">
        <v>587</v>
      </c>
      <c r="C589" s="41">
        <f>C588/C583</f>
        <v>0.5430592019678799</v>
      </c>
      <c r="D589" s="41">
        <f>D588/D583</f>
        <v>0.5359394703656999</v>
      </c>
      <c r="E589" s="22">
        <f aca="true" t="shared" si="29" ref="E589:L589">E588/E583</f>
        <v>1.597069597069597</v>
      </c>
      <c r="F589" s="22">
        <f t="shared" si="29"/>
        <v>0</v>
      </c>
      <c r="G589" s="22">
        <f t="shared" si="29"/>
        <v>0</v>
      </c>
      <c r="H589" s="22">
        <f t="shared" si="29"/>
        <v>0</v>
      </c>
      <c r="I589" s="22">
        <f t="shared" si="29"/>
        <v>0</v>
      </c>
      <c r="J589" s="22">
        <f t="shared" si="29"/>
        <v>0</v>
      </c>
      <c r="K589" s="22">
        <f t="shared" si="29"/>
        <v>0</v>
      </c>
      <c r="L589" s="22">
        <f t="shared" si="29"/>
        <v>0.22753168659365228</v>
      </c>
      <c r="M589" s="55" t="str">
        <f t="shared" si="26"/>
        <v>n/a</v>
      </c>
      <c r="N589" s="22">
        <f t="shared" si="25"/>
        <v>0.22753168659365228</v>
      </c>
    </row>
    <row r="590" spans="1:15" ht="15.75">
      <c r="A590" s="1"/>
      <c r="B590" s="1"/>
      <c r="C590" s="72"/>
      <c r="D590" s="74"/>
      <c r="E590" s="27"/>
      <c r="F590" s="27"/>
      <c r="G590" s="27"/>
      <c r="H590" s="27"/>
      <c r="I590" s="27"/>
      <c r="J590" s="42"/>
      <c r="K590" s="72"/>
      <c r="L590" s="85"/>
      <c r="O590" s="13"/>
    </row>
    <row r="591" spans="1:15" ht="12.75">
      <c r="A591" s="14" t="s">
        <v>83</v>
      </c>
      <c r="E591" s="28"/>
      <c r="F591" s="28"/>
      <c r="L591" s="1"/>
      <c r="O591" s="87"/>
    </row>
    <row r="592" spans="1:17" ht="12.75">
      <c r="A592" t="s">
        <v>84</v>
      </c>
      <c r="C592" s="73">
        <v>357</v>
      </c>
      <c r="D592" s="73">
        <v>384</v>
      </c>
      <c r="E592" s="73">
        <v>357</v>
      </c>
      <c r="F592" s="24">
        <v>0</v>
      </c>
      <c r="G592" s="24">
        <v>0</v>
      </c>
      <c r="H592" s="24">
        <v>0</v>
      </c>
      <c r="I592" s="24">
        <v>0</v>
      </c>
      <c r="J592" s="55">
        <v>0</v>
      </c>
      <c r="K592" s="55">
        <v>0</v>
      </c>
      <c r="L592" s="25">
        <f>SUM(C592:K592)</f>
        <v>1098</v>
      </c>
      <c r="M592" s="24">
        <v>0</v>
      </c>
      <c r="N592" s="25">
        <f>L592+M592</f>
        <v>1098</v>
      </c>
      <c r="O592" t="s">
        <v>767</v>
      </c>
      <c r="Q592" s="24"/>
    </row>
    <row r="593" spans="1:17" ht="12.75">
      <c r="A593" t="s">
        <v>100</v>
      </c>
      <c r="C593" s="49">
        <f>C592/30</f>
        <v>11.9</v>
      </c>
      <c r="D593" s="49">
        <f>D592/31</f>
        <v>12.387096774193548</v>
      </c>
      <c r="E593" s="49">
        <f>E592/30</f>
        <v>11.9</v>
      </c>
      <c r="F593" s="24">
        <v>0</v>
      </c>
      <c r="G593" s="24">
        <v>0</v>
      </c>
      <c r="H593" s="24">
        <v>0</v>
      </c>
      <c r="I593" s="24">
        <v>0</v>
      </c>
      <c r="J593" s="24">
        <v>0</v>
      </c>
      <c r="K593" s="24">
        <v>0</v>
      </c>
      <c r="L593" s="23">
        <f>L592/91</f>
        <v>12.065934065934066</v>
      </c>
      <c r="M593" s="23">
        <f>M592/92</f>
        <v>0</v>
      </c>
      <c r="N593" s="23">
        <f>N592/91</f>
        <v>12.065934065934066</v>
      </c>
      <c r="O593" t="s">
        <v>99</v>
      </c>
      <c r="Q593" s="24"/>
    </row>
    <row r="594" spans="1:17" ht="12.75">
      <c r="A594" t="s">
        <v>762</v>
      </c>
      <c r="C594" s="55">
        <f aca="true" t="shared" si="30" ref="C594:K594">C592-C566</f>
        <v>357</v>
      </c>
      <c r="D594" s="55">
        <f t="shared" si="30"/>
        <v>375.16</v>
      </c>
      <c r="E594" s="55">
        <f t="shared" si="30"/>
        <v>329.58</v>
      </c>
      <c r="F594" s="24">
        <f t="shared" si="30"/>
        <v>0</v>
      </c>
      <c r="G594" s="24">
        <f t="shared" si="30"/>
        <v>0</v>
      </c>
      <c r="H594" s="24">
        <f t="shared" si="30"/>
        <v>0</v>
      </c>
      <c r="I594" s="24">
        <f t="shared" si="30"/>
        <v>0</v>
      </c>
      <c r="J594" s="55">
        <f t="shared" si="30"/>
        <v>0</v>
      </c>
      <c r="K594" s="55">
        <f t="shared" si="30"/>
        <v>0</v>
      </c>
      <c r="L594" s="25">
        <f>SUM(C594:K594)</f>
        <v>1061.74</v>
      </c>
      <c r="M594" s="24">
        <f>M592-M566</f>
        <v>0</v>
      </c>
      <c r="N594" s="25">
        <f>L594+M594</f>
        <v>1061.74</v>
      </c>
      <c r="O594" t="s">
        <v>98</v>
      </c>
      <c r="Q594" s="24"/>
    </row>
    <row r="595" spans="1:17" ht="12.75">
      <c r="A595" t="s">
        <v>102</v>
      </c>
      <c r="C595" s="55">
        <f>C594*P568</f>
        <v>1201.305</v>
      </c>
      <c r="D595" s="55">
        <f>D594*P568</f>
        <v>1262.4134000000001</v>
      </c>
      <c r="E595" s="55">
        <f>E594*P568</f>
        <v>1109.0367</v>
      </c>
      <c r="F595" s="24">
        <f>F594*P568</f>
        <v>0</v>
      </c>
      <c r="G595" s="24">
        <f>G594*P568</f>
        <v>0</v>
      </c>
      <c r="H595" s="24">
        <f>H594*P568</f>
        <v>0</v>
      </c>
      <c r="I595" s="24">
        <f>I594*P568</f>
        <v>0</v>
      </c>
      <c r="J595" s="55">
        <f>J594*P568</f>
        <v>0</v>
      </c>
      <c r="K595" s="55">
        <f>K594*P568</f>
        <v>0</v>
      </c>
      <c r="L595" s="25">
        <f>SUM(C595:K595)</f>
        <v>3572.7551000000003</v>
      </c>
      <c r="M595" s="24">
        <f>M594*P568</f>
        <v>0</v>
      </c>
      <c r="N595" s="25">
        <f>L595+M595</f>
        <v>3572.7551000000003</v>
      </c>
      <c r="O595" t="s">
        <v>103</v>
      </c>
      <c r="Q595" s="24"/>
    </row>
    <row r="596" ht="12.75">
      <c r="Q596" s="24"/>
    </row>
    <row r="597" spans="1:5" ht="12.75">
      <c r="A597" s="14" t="s">
        <v>360</v>
      </c>
      <c r="E597" s="24"/>
    </row>
    <row r="598" spans="1:17" ht="12.75">
      <c r="A598" s="4" t="s">
        <v>204</v>
      </c>
      <c r="C598" s="23">
        <f>C118*0.95/7</f>
        <v>4.071428571428571</v>
      </c>
      <c r="D598" s="23">
        <f>D118*0.95/7</f>
        <v>4.207142857142857</v>
      </c>
      <c r="E598" s="23">
        <f>E118*P598</f>
        <v>5.130000000000001</v>
      </c>
      <c r="F598" s="23">
        <f>F118*P598</f>
        <v>5.301</v>
      </c>
      <c r="G598" s="23">
        <f>H118*P598</f>
        <v>5.301</v>
      </c>
      <c r="H598" s="23">
        <f>I118*P598</f>
        <v>4.788</v>
      </c>
      <c r="I598" s="23">
        <f>J118*P598</f>
        <v>5.301</v>
      </c>
      <c r="J598" s="23">
        <f>K118*P598</f>
        <v>5.130000000000001</v>
      </c>
      <c r="K598" s="23">
        <f>L118*P598</f>
        <v>5.301</v>
      </c>
      <c r="L598" s="28">
        <f>SUM(C598:K598)</f>
        <v>44.530571428571434</v>
      </c>
      <c r="M598" s="23">
        <f>92*P598</f>
        <v>15.732000000000001</v>
      </c>
      <c r="N598" s="28">
        <f>L598+M598</f>
        <v>60.262571428571434</v>
      </c>
      <c r="O598" t="s">
        <v>765</v>
      </c>
      <c r="P598">
        <v>0.171</v>
      </c>
      <c r="Q598" s="58" t="s">
        <v>525</v>
      </c>
    </row>
    <row r="599" spans="1:15" ht="12.75">
      <c r="A599" t="s">
        <v>761</v>
      </c>
      <c r="C599" s="24">
        <f>C598*P562*1000/P574</f>
        <v>25.851722405926918</v>
      </c>
      <c r="D599" s="24">
        <f>D598*P562*1000/P574</f>
        <v>26.713446486124482</v>
      </c>
      <c r="E599" s="24">
        <f>E598*P562*1000/P574</f>
        <v>32.57317023146792</v>
      </c>
      <c r="F599" s="24">
        <f>F598*P562*1000/P574</f>
        <v>33.65894257251685</v>
      </c>
      <c r="G599" s="24">
        <f>G598*P562*1000/P574</f>
        <v>33.65894257251685</v>
      </c>
      <c r="H599" s="24">
        <f>H598*P562*1000/P574</f>
        <v>30.401625549370056</v>
      </c>
      <c r="I599" s="24">
        <f>I598*P562*1000/P574</f>
        <v>33.65894257251685</v>
      </c>
      <c r="J599" s="24">
        <f>J598*P562*1000/P574</f>
        <v>32.57317023146792</v>
      </c>
      <c r="K599" s="24">
        <f>K598*P562*1000/P574</f>
        <v>33.65894257251685</v>
      </c>
      <c r="L599" s="25">
        <f>SUM(C599:K599)</f>
        <v>282.7489051944247</v>
      </c>
      <c r="M599" s="24">
        <f>M598*P562*1000/P574</f>
        <v>99.89105537650161</v>
      </c>
      <c r="N599" s="25">
        <f>L599+M599</f>
        <v>382.6399605709263</v>
      </c>
      <c r="O599" t="s">
        <v>684</v>
      </c>
    </row>
    <row r="600" spans="1:15" ht="12.75">
      <c r="A600" t="s">
        <v>758</v>
      </c>
      <c r="C600" s="24">
        <f>C599*P563</f>
        <v>29.755332489221882</v>
      </c>
      <c r="D600" s="24">
        <f>D599*P563</f>
        <v>30.74717690552928</v>
      </c>
      <c r="E600" s="24">
        <f>E599*P563</f>
        <v>37.49171893641957</v>
      </c>
      <c r="F600" s="24">
        <f>F599*P563</f>
        <v>38.741442900966895</v>
      </c>
      <c r="G600" s="24">
        <f>G599*P563</f>
        <v>38.741442900966895</v>
      </c>
      <c r="H600" s="24">
        <f>H599*P563</f>
        <v>34.99227100732494</v>
      </c>
      <c r="I600" s="24">
        <f>I599*P563</f>
        <v>38.741442900966895</v>
      </c>
      <c r="J600" s="24">
        <f>J599*P563</f>
        <v>37.49171893641957</v>
      </c>
      <c r="K600" s="24">
        <f>K599*P563</f>
        <v>38.741442900966895</v>
      </c>
      <c r="L600" s="25">
        <f>SUM(C600:K600)</f>
        <v>325.4439898787828</v>
      </c>
      <c r="M600" s="24">
        <f>M599*P563</f>
        <v>114.97460473835336</v>
      </c>
      <c r="N600" s="25">
        <f>L600+M600</f>
        <v>440.4185946171362</v>
      </c>
      <c r="O600" t="s">
        <v>760</v>
      </c>
    </row>
    <row r="601" spans="1:5" ht="12.75">
      <c r="A601" s="18"/>
      <c r="E601" s="24"/>
    </row>
    <row r="602" spans="1:5" ht="12.75">
      <c r="A602" s="105" t="s">
        <v>766</v>
      </c>
      <c r="E602" s="24"/>
    </row>
    <row r="603" spans="1:15" ht="12.75">
      <c r="A603" s="9" t="s">
        <v>87</v>
      </c>
      <c r="C603" s="106">
        <f>C572+C594+C599</f>
        <v>382.8517224059269</v>
      </c>
      <c r="D603" s="106">
        <f>D572+D594+D599</f>
        <v>642.0026348834289</v>
      </c>
      <c r="E603" s="106">
        <f>E572+E594+E599</f>
        <v>624.6900761793142</v>
      </c>
      <c r="F603" s="33"/>
      <c r="G603" s="33"/>
      <c r="H603" s="33"/>
      <c r="I603" s="33"/>
      <c r="J603" s="106"/>
      <c r="K603" s="106"/>
      <c r="L603" s="25">
        <f>SUM(C603:K603)</f>
        <v>1649.5444334686701</v>
      </c>
      <c r="M603" s="33"/>
      <c r="N603" s="25">
        <f>L603+M603</f>
        <v>1649.5444334686701</v>
      </c>
      <c r="O603" t="s">
        <v>684</v>
      </c>
    </row>
    <row r="604" spans="1:14" ht="12.75">
      <c r="A604" s="9"/>
      <c r="C604" s="96"/>
      <c r="D604" s="101"/>
      <c r="E604" s="101"/>
      <c r="F604" s="37"/>
      <c r="G604" s="37"/>
      <c r="H604" s="37"/>
      <c r="I604" s="37"/>
      <c r="J604" s="101"/>
      <c r="K604" s="101"/>
      <c r="L604" s="28"/>
      <c r="M604" s="37"/>
      <c r="N604" s="28"/>
    </row>
    <row r="605" spans="1:15" ht="12.75">
      <c r="A605" s="9" t="s">
        <v>85</v>
      </c>
      <c r="C605" s="106">
        <f>C574+C595+C600</f>
        <v>1231.060332489222</v>
      </c>
      <c r="D605" s="106">
        <f>D574+D595+D600</f>
        <v>1369.1650145849903</v>
      </c>
      <c r="E605" s="106">
        <f>E574+E595+E600</f>
        <v>1287.5643896073836</v>
      </c>
      <c r="F605" s="33"/>
      <c r="G605" s="33"/>
      <c r="H605" s="33"/>
      <c r="I605" s="33"/>
      <c r="J605" s="106"/>
      <c r="K605" s="106"/>
      <c r="L605" s="25">
        <f>SUM(C605:K605)</f>
        <v>3887.789736681596</v>
      </c>
      <c r="M605" s="33"/>
      <c r="N605" s="25">
        <f>L605+M605</f>
        <v>3887.789736681596</v>
      </c>
      <c r="O605" t="s">
        <v>759</v>
      </c>
    </row>
    <row r="606" spans="1:12" ht="12.75">
      <c r="A606" s="9" t="s">
        <v>86</v>
      </c>
      <c r="D606" s="15"/>
      <c r="E606" s="73"/>
      <c r="F606" s="27"/>
      <c r="G606" s="27"/>
      <c r="H606" s="42"/>
      <c r="I606" s="27"/>
      <c r="J606" s="27"/>
      <c r="K606" s="27"/>
      <c r="L606" s="28"/>
    </row>
    <row r="607" spans="1:15" ht="12.75">
      <c r="A607" s="9" t="s">
        <v>101</v>
      </c>
      <c r="C607" s="75">
        <f>C605/O92</f>
        <v>5.436377907837769</v>
      </c>
      <c r="D607" s="41">
        <f>D605/O92</f>
        <v>6.04624992052482</v>
      </c>
      <c r="E607" s="41">
        <f>E605/O92</f>
        <v>5.685900534563349</v>
      </c>
      <c r="F607" s="41"/>
      <c r="G607" s="41"/>
      <c r="H607" s="41"/>
      <c r="I607" s="41"/>
      <c r="J607" s="41"/>
      <c r="K607" s="41"/>
      <c r="L607" s="27">
        <f>SUM(C607:K607)</f>
        <v>17.168528362925937</v>
      </c>
      <c r="M607" s="32"/>
      <c r="N607" s="27">
        <f>L607+M607</f>
        <v>17.168528362925937</v>
      </c>
      <c r="O607" t="s">
        <v>763</v>
      </c>
    </row>
    <row r="608" spans="2:10" ht="12.75">
      <c r="B608" s="1"/>
      <c r="D608" s="18"/>
      <c r="F608" s="18"/>
      <c r="G608" s="58"/>
      <c r="H608" s="58"/>
      <c r="I608" s="58"/>
      <c r="J608" s="58"/>
    </row>
    <row r="609" spans="2:10" ht="12.75">
      <c r="B609" s="1"/>
      <c r="D609" s="18"/>
      <c r="F609" s="18"/>
      <c r="G609" s="58"/>
      <c r="H609" s="58"/>
      <c r="I609" s="58"/>
      <c r="J609" s="58"/>
    </row>
  </sheetData>
  <printOptions/>
  <pageMargins left="0.75" right="0.75" top="1" bottom="1" header="0.5" footer="0.5"/>
  <pageSetup fitToHeight="0" fitToWidth="1" horizontalDpi="600" verticalDpi="600" orientation="landscape" scale="56" r:id="rId1"/>
  <rowBreaks count="11" manualBreakCount="11">
    <brk id="63" max="17" man="1"/>
    <brk id="115" max="17" man="1"/>
    <brk id="171" max="17" man="1"/>
    <brk id="232" max="17" man="1"/>
    <brk id="280" max="17" man="1"/>
    <brk id="334" max="17" man="1"/>
    <brk id="392" max="17" man="1"/>
    <brk id="428" max="17" man="1"/>
    <brk id="455" max="255" man="1"/>
    <brk id="512" max="17" man="1"/>
    <brk id="551" max="17" man="1"/>
  </rowBreaks>
  <colBreaks count="1" manualBreakCount="1">
    <brk id="9" max="522"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Gord</cp:lastModifiedBy>
  <cp:lastPrinted>2009-12-01T04:05:02Z</cp:lastPrinted>
  <dcterms:created xsi:type="dcterms:W3CDTF">2006-03-03T01:31:44Z</dcterms:created>
  <dcterms:modified xsi:type="dcterms:W3CDTF">2009-12-01T05:15:18Z</dcterms:modified>
  <cp:category/>
  <cp:version/>
  <cp:contentType/>
  <cp:contentStatus/>
</cp:coreProperties>
</file>